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55" yWindow="285" windowWidth="14400" windowHeight="11400"/>
  </bookViews>
  <sheets>
    <sheet name="1.sz.tábla" sheetId="42" r:id="rId1"/>
    <sheet name="2.sz.tábla" sheetId="41" r:id="rId2"/>
    <sheet name="2a. tábla" sheetId="82" r:id="rId3"/>
    <sheet name="3.tábla" sheetId="40" r:id="rId4"/>
    <sheet name="4. sz. tábla" sheetId="49" r:id="rId5"/>
    <sheet name="5.sz.tábla " sheetId="70" r:id="rId6"/>
    <sheet name="6. sz. tábla " sheetId="51" r:id="rId7"/>
    <sheet name="7. sz. tábla" sheetId="62" r:id="rId8"/>
    <sheet name="8. sz. tábla " sheetId="21" r:id="rId9"/>
    <sheet name="9. sz. tábla" sheetId="83" r:id="rId10"/>
  </sheets>
  <externalReferences>
    <externalReference r:id="rId11"/>
  </externalReferences>
  <definedNames>
    <definedName name="_xlnm.Print_Area" localSheetId="0">'1.sz.tábla'!$A$3:$F$38</definedName>
    <definedName name="_xlnm.Print_Area" localSheetId="1">'2.sz.tábla'!$A$1:$F$97</definedName>
    <definedName name="_xlnm.Print_Area" localSheetId="2">'2a. tábla'!$A$1:$I$52</definedName>
    <definedName name="_xlnm.Print_Area" localSheetId="3">'3.tábla'!$A$1:$F$50</definedName>
    <definedName name="_xlnm.Print_Area" localSheetId="4">'4. sz. tábla'!$A$1:$F$25</definedName>
    <definedName name="_xlnm.Print_Area" localSheetId="5">'5.sz.tábla '!$A$1:$F$40</definedName>
    <definedName name="_xlnm.Print_Area" localSheetId="6">'6. sz. tábla '!$A$1:$L$61</definedName>
    <definedName name="_xlnm.Print_Area" localSheetId="7">'7. sz. tábla'!$A$2:$L$90</definedName>
    <definedName name="_xlnm.Print_Area" localSheetId="8">'8. sz. tábla '!$A$1:$N$49</definedName>
    <definedName name="_xlnm.Print_Area" localSheetId="9">'9. sz. tábla'!$A$1:$E$21</definedName>
    <definedName name="onev">[1]kod!$BT$34:$BT$3186</definedName>
  </definedNames>
  <calcPr calcId="144525"/>
</workbook>
</file>

<file path=xl/calcChain.xml><?xml version="1.0" encoding="utf-8"?>
<calcChain xmlns="http://schemas.openxmlformats.org/spreadsheetml/2006/main">
  <c r="K9" i="21" l="1"/>
  <c r="J9" i="21"/>
  <c r="E25" i="40"/>
  <c r="E12" i="40"/>
  <c r="H47" i="82"/>
  <c r="I47" i="82" s="1"/>
  <c r="I48" i="82"/>
  <c r="H48" i="82"/>
  <c r="D21" i="83" l="1"/>
  <c r="C21" i="83"/>
  <c r="B21" i="83"/>
  <c r="E20" i="83"/>
  <c r="E19" i="83"/>
  <c r="E18" i="83"/>
  <c r="E17" i="83"/>
  <c r="E16" i="83"/>
  <c r="E15" i="83"/>
  <c r="D12" i="83"/>
  <c r="C12" i="83"/>
  <c r="B12" i="83"/>
  <c r="E9" i="83"/>
  <c r="E12" i="83" s="1"/>
  <c r="E21" i="83" l="1"/>
  <c r="M29" i="21"/>
  <c r="O29" i="21"/>
  <c r="O27" i="21"/>
  <c r="O21" i="21"/>
  <c r="O20" i="21"/>
  <c r="O17" i="21"/>
  <c r="M7" i="21"/>
  <c r="K7" i="21"/>
  <c r="J7" i="21"/>
  <c r="C7" i="21"/>
  <c r="N9" i="21"/>
  <c r="B19" i="21"/>
  <c r="B22" i="21"/>
  <c r="B6" i="21"/>
  <c r="E31" i="62"/>
  <c r="E29" i="62"/>
  <c r="K89" i="62"/>
  <c r="E89" i="62"/>
  <c r="E86" i="62"/>
  <c r="K80" i="62"/>
  <c r="K78" i="62"/>
  <c r="E80" i="62"/>
  <c r="E78" i="62"/>
  <c r="E66" i="62"/>
  <c r="K66" i="62"/>
  <c r="K63" i="62"/>
  <c r="K62" i="62"/>
  <c r="K59" i="62"/>
  <c r="K56" i="62"/>
  <c r="K49" i="62"/>
  <c r="K47" i="62"/>
  <c r="K44" i="62"/>
  <c r="E63" i="62"/>
  <c r="E62" i="62"/>
  <c r="E59" i="62"/>
  <c r="E49" i="62"/>
  <c r="E47" i="62"/>
  <c r="E39" i="62"/>
  <c r="K35" i="62"/>
  <c r="E35" i="62"/>
  <c r="K31" i="62"/>
  <c r="K29" i="62"/>
  <c r="K25" i="62"/>
  <c r="K24" i="62"/>
  <c r="K22" i="62"/>
  <c r="K19" i="62"/>
  <c r="K17" i="62"/>
  <c r="K16" i="62"/>
  <c r="K15" i="62"/>
  <c r="K14" i="62"/>
  <c r="K13" i="62"/>
  <c r="K11" i="62"/>
  <c r="K9" i="62"/>
  <c r="K8" i="62" l="1"/>
  <c r="E24" i="62"/>
  <c r="E23" i="62"/>
  <c r="E22" i="62"/>
  <c r="E19" i="62"/>
  <c r="E60" i="51" l="1"/>
  <c r="E59" i="51"/>
  <c r="E57" i="51"/>
  <c r="E56" i="51"/>
  <c r="E46" i="51"/>
  <c r="E43" i="51"/>
  <c r="E39" i="51"/>
  <c r="E33" i="51"/>
  <c r="E32" i="51"/>
  <c r="E31" i="51"/>
  <c r="E52" i="51"/>
  <c r="K56" i="51"/>
  <c r="K55" i="51" s="1"/>
  <c r="K52" i="51"/>
  <c r="K46" i="51"/>
  <c r="K40" i="51"/>
  <c r="K39" i="51"/>
  <c r="K36" i="51"/>
  <c r="K34" i="51" s="1"/>
  <c r="K33" i="51"/>
  <c r="K31" i="51"/>
  <c r="K50" i="51"/>
  <c r="L50" i="51"/>
  <c r="E50" i="51"/>
  <c r="E30" i="51"/>
  <c r="F18" i="42"/>
  <c r="F36" i="42"/>
  <c r="F17" i="42"/>
  <c r="F16" i="42"/>
  <c r="F8" i="42"/>
  <c r="F9" i="42"/>
  <c r="F10" i="42"/>
  <c r="F11" i="42"/>
  <c r="F12" i="42"/>
  <c r="F13" i="42"/>
  <c r="E18" i="41"/>
  <c r="E58" i="51" l="1"/>
  <c r="E55" i="51"/>
  <c r="I35" i="82"/>
  <c r="I34" i="82"/>
  <c r="H35" i="82"/>
  <c r="E32" i="42"/>
  <c r="F40" i="70"/>
  <c r="E36" i="70"/>
  <c r="E93" i="41"/>
  <c r="E8" i="40"/>
  <c r="E7" i="40"/>
  <c r="F28" i="42" l="1"/>
  <c r="F27" i="42"/>
  <c r="F25" i="42"/>
  <c r="F32" i="42"/>
  <c r="F33" i="42"/>
  <c r="E25" i="51"/>
  <c r="E24" i="51"/>
  <c r="E20" i="51"/>
  <c r="E19" i="51" s="1"/>
  <c r="F9" i="51"/>
  <c r="F10" i="51"/>
  <c r="F8" i="51"/>
  <c r="F36" i="70"/>
  <c r="E37" i="70"/>
  <c r="F37" i="70" s="1"/>
  <c r="F26" i="70"/>
  <c r="F18" i="70"/>
  <c r="F19" i="70"/>
  <c r="F20" i="70"/>
  <c r="F21" i="70"/>
  <c r="F22" i="70"/>
  <c r="F23" i="70"/>
  <c r="F24" i="70"/>
  <c r="F25" i="70"/>
  <c r="F17" i="70"/>
  <c r="E31" i="70"/>
  <c r="E28" i="70"/>
  <c r="F14" i="70"/>
  <c r="F9" i="70"/>
  <c r="F10" i="70"/>
  <c r="F11" i="70"/>
  <c r="F12" i="70"/>
  <c r="F13" i="70"/>
  <c r="F8" i="70"/>
  <c r="E14" i="70"/>
  <c r="E27" i="42" s="1"/>
  <c r="F6" i="70"/>
  <c r="E6" i="70"/>
  <c r="K14" i="51"/>
  <c r="K13" i="51"/>
  <c r="K12" i="51"/>
  <c r="K11" i="51"/>
  <c r="K10" i="51"/>
  <c r="K8" i="51"/>
  <c r="K7" i="51"/>
  <c r="E10" i="51"/>
  <c r="E11" i="62" s="1"/>
  <c r="E9" i="51"/>
  <c r="E10" i="62" s="1"/>
  <c r="E8" i="51"/>
  <c r="E9" i="62" s="1"/>
  <c r="F18" i="41"/>
  <c r="F19" i="41"/>
  <c r="F33" i="41"/>
  <c r="F34" i="41"/>
  <c r="F35" i="41"/>
  <c r="F36" i="41"/>
  <c r="F37" i="41"/>
  <c r="F38" i="41"/>
  <c r="F39" i="41"/>
  <c r="F40" i="41"/>
  <c r="F41" i="41"/>
  <c r="F42" i="41"/>
  <c r="F43" i="41"/>
  <c r="F46" i="41"/>
  <c r="F47" i="41"/>
  <c r="F50" i="41"/>
  <c r="F51" i="41"/>
  <c r="F52" i="41"/>
  <c r="F49" i="41"/>
  <c r="F55" i="41"/>
  <c r="F56" i="41"/>
  <c r="F58" i="41"/>
  <c r="F60" i="41"/>
  <c r="F62" i="41"/>
  <c r="F63" i="41"/>
  <c r="F81" i="41"/>
  <c r="F80" i="41"/>
  <c r="F79" i="41"/>
  <c r="F93" i="41"/>
  <c r="F92" i="41"/>
  <c r="E82" i="41"/>
  <c r="E17" i="42" s="1"/>
  <c r="E80" i="41"/>
  <c r="E79" i="41" s="1"/>
  <c r="E16" i="42" s="1"/>
  <c r="E60" i="41"/>
  <c r="E11" i="42" s="1"/>
  <c r="E47" i="41"/>
  <c r="E10" i="42" s="1"/>
  <c r="E42" i="41"/>
  <c r="E39" i="41"/>
  <c r="E34" i="41"/>
  <c r="F8" i="41"/>
  <c r="F12" i="41"/>
  <c r="E11" i="41"/>
  <c r="E10" i="41"/>
  <c r="E7" i="41"/>
  <c r="F25" i="49"/>
  <c r="E25" i="49"/>
  <c r="F16" i="49"/>
  <c r="F17" i="49"/>
  <c r="F15" i="49"/>
  <c r="F14" i="49"/>
  <c r="F12" i="49"/>
  <c r="F11" i="49"/>
  <c r="F7" i="49"/>
  <c r="F6" i="49"/>
  <c r="F5" i="49"/>
  <c r="E14" i="49"/>
  <c r="E33" i="40" s="1"/>
  <c r="F33" i="40" s="1"/>
  <c r="E5" i="49"/>
  <c r="E32" i="40" s="1"/>
  <c r="F32" i="40" s="1"/>
  <c r="F48" i="40"/>
  <c r="F46" i="40"/>
  <c r="F43" i="40"/>
  <c r="F40" i="40"/>
  <c r="F34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12" i="40"/>
  <c r="F11" i="40"/>
  <c r="F8" i="40"/>
  <c r="F7" i="40"/>
  <c r="E48" i="40"/>
  <c r="E9" i="40"/>
  <c r="K9" i="51" s="1"/>
  <c r="K10" i="62" s="1"/>
  <c r="K18" i="62" s="1"/>
  <c r="K20" i="62" s="1"/>
  <c r="H44" i="82"/>
  <c r="H39" i="82"/>
  <c r="H37" i="82"/>
  <c r="H25" i="82"/>
  <c r="H22" i="82"/>
  <c r="H19" i="82"/>
  <c r="H10" i="82"/>
  <c r="H7" i="82"/>
  <c r="E36" i="42"/>
  <c r="K20" i="51" s="1"/>
  <c r="K19" i="51" s="1"/>
  <c r="E31" i="42"/>
  <c r="K16" i="51" s="1"/>
  <c r="E29" i="42"/>
  <c r="E28" i="42"/>
  <c r="E26" i="42"/>
  <c r="E12" i="42"/>
  <c r="E8" i="42"/>
  <c r="K90" i="62" l="1"/>
  <c r="K32" i="62"/>
  <c r="F9" i="40"/>
  <c r="E40" i="70"/>
  <c r="E37" i="42"/>
  <c r="E94" i="41"/>
  <c r="F94" i="41" s="1"/>
  <c r="F82" i="41"/>
  <c r="K17" i="51"/>
  <c r="E21" i="51"/>
  <c r="E18" i="42"/>
  <c r="E38" i="41"/>
  <c r="E33" i="41" s="1"/>
  <c r="E9" i="42" s="1"/>
  <c r="E35" i="40"/>
  <c r="H34" i="82"/>
  <c r="H6" i="82"/>
  <c r="H5" i="82" s="1"/>
  <c r="E25" i="42"/>
  <c r="D18" i="41"/>
  <c r="D19" i="41"/>
  <c r="E19" i="41" s="1"/>
  <c r="K26" i="51" l="1"/>
  <c r="K51" i="51"/>
  <c r="K53" i="51" s="1"/>
  <c r="K61" i="51" s="1"/>
  <c r="H52" i="82"/>
  <c r="H53" i="82" s="1"/>
  <c r="E9" i="41"/>
  <c r="E6" i="41" s="1"/>
  <c r="E5" i="41" s="1"/>
  <c r="E7" i="42" s="1"/>
  <c r="F7" i="42" s="1"/>
  <c r="F35" i="40"/>
  <c r="E50" i="40"/>
  <c r="O22" i="21"/>
  <c r="E77" i="41" l="1"/>
  <c r="E23" i="42"/>
  <c r="F50" i="40"/>
  <c r="D19" i="21"/>
  <c r="D16" i="21"/>
  <c r="E28" i="21"/>
  <c r="E33" i="21" s="1"/>
  <c r="D28" i="21"/>
  <c r="D33" i="21" s="1"/>
  <c r="D35" i="21" s="1"/>
  <c r="C28" i="21"/>
  <c r="C33" i="21" s="1"/>
  <c r="C32" i="21"/>
  <c r="B28" i="21"/>
  <c r="B33" i="21" s="1"/>
  <c r="B35" i="21" s="1"/>
  <c r="B37" i="21" s="1"/>
  <c r="D34" i="21"/>
  <c r="L30" i="21"/>
  <c r="O23" i="21"/>
  <c r="B11" i="21"/>
  <c r="B16" i="21" s="1"/>
  <c r="C57" i="51"/>
  <c r="D57" i="51"/>
  <c r="B56" i="51"/>
  <c r="F77" i="41" l="1"/>
  <c r="E95" i="41"/>
  <c r="F95" i="41" s="1"/>
  <c r="E14" i="42"/>
  <c r="O16" i="21" s="1"/>
  <c r="E7" i="51"/>
  <c r="E22" i="42"/>
  <c r="F23" i="42"/>
  <c r="J89" i="62"/>
  <c r="D89" i="62"/>
  <c r="D86" i="62"/>
  <c r="J80" i="62"/>
  <c r="J78" i="62"/>
  <c r="D80" i="62"/>
  <c r="D78" i="62"/>
  <c r="J66" i="62"/>
  <c r="D66" i="62"/>
  <c r="D62" i="62"/>
  <c r="D59" i="62"/>
  <c r="J56" i="62"/>
  <c r="J59" i="62" s="1"/>
  <c r="J62" i="62" s="1"/>
  <c r="J44" i="62"/>
  <c r="J47" i="62" s="1"/>
  <c r="J49" i="62" s="1"/>
  <c r="D39" i="62"/>
  <c r="D47" i="62" s="1"/>
  <c r="D49" i="62" s="1"/>
  <c r="D63" i="62" s="1"/>
  <c r="J35" i="62"/>
  <c r="D35" i="62"/>
  <c r="J25" i="62"/>
  <c r="J16" i="62"/>
  <c r="J15" i="62"/>
  <c r="J14" i="62"/>
  <c r="J14" i="51"/>
  <c r="J13" i="51"/>
  <c r="J12" i="51"/>
  <c r="J13" i="62" s="1"/>
  <c r="J10" i="51"/>
  <c r="J11" i="62" s="1"/>
  <c r="J9" i="51"/>
  <c r="J10" i="62" s="1"/>
  <c r="J8" i="51"/>
  <c r="J9" i="62" s="1"/>
  <c r="J7" i="51"/>
  <c r="J8" i="62" s="1"/>
  <c r="D60" i="51"/>
  <c r="D25" i="51"/>
  <c r="D24" i="51"/>
  <c r="J36" i="51"/>
  <c r="J34" i="51" s="1"/>
  <c r="D43" i="51"/>
  <c r="D33" i="51"/>
  <c r="D24" i="62" s="1"/>
  <c r="J30" i="51"/>
  <c r="D30" i="51"/>
  <c r="J50" i="51"/>
  <c r="D50" i="51"/>
  <c r="F7" i="51" l="1"/>
  <c r="F17" i="51" s="1"/>
  <c r="E8" i="62"/>
  <c r="E18" i="62" s="1"/>
  <c r="E20" i="62" s="1"/>
  <c r="E17" i="51"/>
  <c r="E51" i="51" s="1"/>
  <c r="E53" i="51" s="1"/>
  <c r="E19" i="42"/>
  <c r="F19" i="42" s="1"/>
  <c r="F14" i="42"/>
  <c r="E34" i="42"/>
  <c r="E38" i="42" s="1"/>
  <c r="F22" i="42"/>
  <c r="J63" i="62"/>
  <c r="D21" i="51"/>
  <c r="D59" i="51" s="1"/>
  <c r="D58" i="51" s="1"/>
  <c r="D9" i="40"/>
  <c r="D26" i="70"/>
  <c r="D8" i="40"/>
  <c r="D7" i="40"/>
  <c r="L7" i="21"/>
  <c r="I7" i="21"/>
  <c r="H7" i="21"/>
  <c r="G7" i="21"/>
  <c r="F7" i="21"/>
  <c r="E7" i="21"/>
  <c r="D7" i="21"/>
  <c r="K54" i="51" l="1"/>
  <c r="E61" i="51"/>
  <c r="E32" i="62"/>
  <c r="E90" i="62"/>
  <c r="E26" i="51"/>
  <c r="E18" i="51"/>
  <c r="F38" i="42"/>
  <c r="E40" i="42"/>
  <c r="K25" i="21"/>
  <c r="H25" i="21"/>
  <c r="O25" i="21"/>
  <c r="L25" i="21"/>
  <c r="M25" i="21"/>
  <c r="J25" i="21"/>
  <c r="I25" i="21"/>
  <c r="G25" i="21"/>
  <c r="F25" i="21"/>
  <c r="E25" i="21"/>
  <c r="B7" i="21"/>
  <c r="D32" i="42" l="1"/>
  <c r="D12" i="42"/>
  <c r="D8" i="42"/>
  <c r="D36" i="42"/>
  <c r="D29" i="42"/>
  <c r="D26" i="42"/>
  <c r="D31" i="42"/>
  <c r="J16" i="51" s="1"/>
  <c r="J17" i="62" s="1"/>
  <c r="J18" i="62" s="1"/>
  <c r="D82" i="41"/>
  <c r="D80" i="41"/>
  <c r="F44" i="41"/>
  <c r="F45" i="41"/>
  <c r="D60" i="41"/>
  <c r="D11" i="42" s="1"/>
  <c r="D47" i="41"/>
  <c r="O8" i="21" s="1"/>
  <c r="D42" i="41"/>
  <c r="D39" i="41"/>
  <c r="D34" i="41"/>
  <c r="D11" i="41"/>
  <c r="F11" i="41" s="1"/>
  <c r="D10" i="41"/>
  <c r="F10" i="41" s="1"/>
  <c r="D9" i="41"/>
  <c r="F9" i="41" s="1"/>
  <c r="D7" i="41"/>
  <c r="F7" i="41" s="1"/>
  <c r="G35" i="82"/>
  <c r="I36" i="82"/>
  <c r="I37" i="82"/>
  <c r="I38" i="82"/>
  <c r="I41" i="82"/>
  <c r="I40" i="82"/>
  <c r="I39" i="82"/>
  <c r="I45" i="82"/>
  <c r="I44" i="82"/>
  <c r="I50" i="82"/>
  <c r="G44" i="82"/>
  <c r="G39" i="82"/>
  <c r="G37" i="82"/>
  <c r="G25" i="82"/>
  <c r="G22" i="82"/>
  <c r="G19" i="82"/>
  <c r="G7" i="82"/>
  <c r="G10" i="82"/>
  <c r="G6" i="82" s="1"/>
  <c r="G5" i="82" s="1"/>
  <c r="D25" i="40"/>
  <c r="D12" i="40"/>
  <c r="D48" i="40"/>
  <c r="D79" i="41" l="1"/>
  <c r="D56" i="51"/>
  <c r="D55" i="51" s="1"/>
  <c r="D10" i="42"/>
  <c r="D17" i="42"/>
  <c r="D31" i="51"/>
  <c r="D22" i="62" s="1"/>
  <c r="D10" i="51"/>
  <c r="D11" i="62" s="1"/>
  <c r="D37" i="42"/>
  <c r="J19" i="62" s="1"/>
  <c r="J20" i="62" s="1"/>
  <c r="J20" i="51"/>
  <c r="J19" i="51" s="1"/>
  <c r="D9" i="51"/>
  <c r="D10" i="62" s="1"/>
  <c r="D32" i="51"/>
  <c r="D38" i="41"/>
  <c r="D6" i="41"/>
  <c r="F6" i="41" s="1"/>
  <c r="G34" i="82"/>
  <c r="D20" i="51" l="1"/>
  <c r="D19" i="51" s="1"/>
  <c r="D16" i="42"/>
  <c r="D18" i="42" s="1"/>
  <c r="D19" i="62" s="1"/>
  <c r="D94" i="41"/>
  <c r="D33" i="41"/>
  <c r="D39" i="51"/>
  <c r="D23" i="62"/>
  <c r="D29" i="62" s="1"/>
  <c r="D31" i="62" s="1"/>
  <c r="J56" i="51"/>
  <c r="J55" i="51" s="1"/>
  <c r="D5" i="41"/>
  <c r="F5" i="41" s="1"/>
  <c r="G52" i="82"/>
  <c r="O9" i="21" l="1"/>
  <c r="D9" i="42"/>
  <c r="D8" i="51" s="1"/>
  <c r="D9" i="62" s="1"/>
  <c r="D52" i="51"/>
  <c r="D46" i="51"/>
  <c r="D77" i="41"/>
  <c r="O7" i="21"/>
  <c r="D7" i="42"/>
  <c r="I52" i="82"/>
  <c r="G53" i="82"/>
  <c r="D7" i="51" l="1"/>
  <c r="D95" i="41"/>
  <c r="D33" i="40"/>
  <c r="D35" i="40" s="1"/>
  <c r="J11" i="51" s="1"/>
  <c r="J17" i="51" s="1"/>
  <c r="D32" i="40"/>
  <c r="J51" i="51" l="1"/>
  <c r="J26" i="51"/>
  <c r="D17" i="51"/>
  <c r="D8" i="62"/>
  <c r="D18" i="62" s="1"/>
  <c r="D20" i="62" s="1"/>
  <c r="D50" i="40"/>
  <c r="D14" i="42"/>
  <c r="D32" i="62" l="1"/>
  <c r="D90" i="62"/>
  <c r="D51" i="51"/>
  <c r="D53" i="51" s="1"/>
  <c r="D61" i="51" s="1"/>
  <c r="D26" i="51"/>
  <c r="D18" i="51"/>
  <c r="D23" i="42"/>
  <c r="D19" i="42"/>
  <c r="D9" i="70"/>
  <c r="D8" i="70"/>
  <c r="D22" i="42" l="1"/>
  <c r="D5" i="49" l="1"/>
  <c r="D25" i="49" s="1"/>
  <c r="D14" i="49"/>
  <c r="D14" i="70" l="1"/>
  <c r="D27" i="42" s="1"/>
  <c r="D28" i="42"/>
  <c r="D28" i="70"/>
  <c r="D37" i="70"/>
  <c r="J31" i="51" l="1"/>
  <c r="O30" i="21"/>
  <c r="J33" i="51"/>
  <c r="J24" i="62" s="1"/>
  <c r="D25" i="42"/>
  <c r="D34" i="42" s="1"/>
  <c r="D31" i="70"/>
  <c r="D40" i="70" s="1"/>
  <c r="J39" i="51" l="1"/>
  <c r="J22" i="62"/>
  <c r="J29" i="62" s="1"/>
  <c r="J31" i="62" s="1"/>
  <c r="D38" i="42"/>
  <c r="D40" i="42" s="1"/>
  <c r="O33" i="21"/>
  <c r="I35" i="62"/>
  <c r="L35" i="62"/>
  <c r="H35" i="62"/>
  <c r="C35" i="62"/>
  <c r="F35" i="62"/>
  <c r="B35" i="62"/>
  <c r="I66" i="62"/>
  <c r="L66" i="62"/>
  <c r="H66" i="62"/>
  <c r="F66" i="62"/>
  <c r="C66" i="62"/>
  <c r="B66" i="62"/>
  <c r="L44" i="62"/>
  <c r="I44" i="62"/>
  <c r="H44" i="62"/>
  <c r="L25" i="62"/>
  <c r="H25" i="62"/>
  <c r="J90" i="62" l="1"/>
  <c r="J32" i="62"/>
  <c r="J52" i="51"/>
  <c r="J53" i="51" s="1"/>
  <c r="J46" i="51"/>
  <c r="J40" i="51"/>
  <c r="C32" i="42"/>
  <c r="J54" i="51" l="1"/>
  <c r="J61" i="51"/>
  <c r="C11" i="41"/>
  <c r="F52" i="82"/>
  <c r="I14" i="51" l="1"/>
  <c r="L14" i="51"/>
  <c r="H14" i="51"/>
  <c r="H13" i="51"/>
  <c r="L36" i="51"/>
  <c r="H36" i="51"/>
  <c r="C14" i="70"/>
  <c r="I50" i="51" l="1"/>
  <c r="H50" i="51"/>
  <c r="C50" i="51"/>
  <c r="F50" i="51"/>
  <c r="B50" i="51"/>
  <c r="I30" i="51"/>
  <c r="L30" i="51"/>
  <c r="H30" i="51"/>
  <c r="C30" i="51"/>
  <c r="F30" i="51"/>
  <c r="B30" i="51"/>
  <c r="C14" i="49"/>
  <c r="B14" i="49"/>
  <c r="C80" i="41"/>
  <c r="B26" i="70"/>
  <c r="B31" i="70" s="1"/>
  <c r="C56" i="51" l="1"/>
  <c r="B14" i="70"/>
  <c r="C26" i="70"/>
  <c r="C26" i="40" l="1"/>
  <c r="C56" i="41"/>
  <c r="C33" i="40" l="1"/>
  <c r="B47" i="41"/>
  <c r="C18" i="41"/>
  <c r="F34" i="82"/>
  <c r="I6" i="82"/>
  <c r="I7" i="82"/>
  <c r="I8" i="82"/>
  <c r="I9" i="82"/>
  <c r="I10" i="82"/>
  <c r="I11" i="82"/>
  <c r="I12" i="82"/>
  <c r="I13" i="82"/>
  <c r="I14" i="82"/>
  <c r="I15" i="82"/>
  <c r="I16" i="82"/>
  <c r="I17" i="82"/>
  <c r="I18" i="82"/>
  <c r="I19" i="82"/>
  <c r="I20" i="82"/>
  <c r="I21" i="82"/>
  <c r="I22" i="82"/>
  <c r="I23" i="82"/>
  <c r="I24" i="82"/>
  <c r="I25" i="82"/>
  <c r="I26" i="82"/>
  <c r="I27" i="82"/>
  <c r="I28" i="82"/>
  <c r="I29" i="82"/>
  <c r="I30" i="82"/>
  <c r="I31" i="82"/>
  <c r="I32" i="82"/>
  <c r="I33" i="82"/>
  <c r="I42" i="82"/>
  <c r="I43" i="82"/>
  <c r="I49" i="82"/>
  <c r="I51" i="82"/>
  <c r="I5" i="82"/>
  <c r="F5" i="82"/>
  <c r="F44" i="82"/>
  <c r="F39" i="82"/>
  <c r="F37" i="82"/>
  <c r="F25" i="82"/>
  <c r="F22" i="82"/>
  <c r="F19" i="82"/>
  <c r="F10" i="82"/>
  <c r="F7" i="82"/>
  <c r="C42" i="41"/>
  <c r="C39" i="41"/>
  <c r="B39" i="41"/>
  <c r="C47" i="41"/>
  <c r="F6" i="82" l="1"/>
  <c r="C7" i="41" s="1"/>
  <c r="C25" i="40"/>
  <c r="C12" i="40"/>
  <c r="F53" i="82" l="1"/>
  <c r="F29" i="70"/>
  <c r="C29" i="42"/>
  <c r="F29" i="42" s="1"/>
  <c r="B29" i="42"/>
  <c r="C79" i="41" l="1"/>
  <c r="C20" i="51" l="1"/>
  <c r="C16" i="42"/>
  <c r="C10" i="41"/>
  <c r="C9" i="41"/>
  <c r="B28" i="70"/>
  <c r="B81" i="41"/>
  <c r="B57" i="51" s="1"/>
  <c r="B10" i="41"/>
  <c r="B9" i="41"/>
  <c r="B8" i="41"/>
  <c r="B7" i="41"/>
  <c r="B21" i="41"/>
  <c r="C21" i="41"/>
  <c r="B34" i="41"/>
  <c r="C34" i="41"/>
  <c r="C38" i="41"/>
  <c r="B42" i="41"/>
  <c r="B60" i="41"/>
  <c r="C60" i="41"/>
  <c r="B66" i="41"/>
  <c r="B72" i="41"/>
  <c r="C72" i="41"/>
  <c r="B79" i="41"/>
  <c r="B82" i="41"/>
  <c r="C82" i="41"/>
  <c r="C94" i="41" s="1"/>
  <c r="B20" i="51" l="1"/>
  <c r="B16" i="42"/>
  <c r="B6" i="41"/>
  <c r="B5" i="41" s="1"/>
  <c r="C6" i="41"/>
  <c r="C33" i="41"/>
  <c r="B94" i="41"/>
  <c r="B38" i="41"/>
  <c r="B33" i="41" s="1"/>
  <c r="B39" i="62"/>
  <c r="C39" i="62"/>
  <c r="F39" i="62"/>
  <c r="I56" i="62"/>
  <c r="L56" i="62"/>
  <c r="H56" i="62"/>
  <c r="F20" i="51" l="1"/>
  <c r="C5" i="41"/>
  <c r="B77" i="41"/>
  <c r="B95" i="41" s="1"/>
  <c r="C77" i="41" l="1"/>
  <c r="C95" i="41" l="1"/>
  <c r="N17" i="21"/>
  <c r="N7" i="21"/>
  <c r="N30" i="21"/>
  <c r="O14" i="21"/>
  <c r="O26" i="21"/>
  <c r="O24" i="21"/>
  <c r="I15" i="62" l="1"/>
  <c r="L15" i="62"/>
  <c r="I25" i="62"/>
  <c r="F28" i="70"/>
  <c r="F31" i="70" s="1"/>
  <c r="F43" i="51"/>
  <c r="L34" i="51" l="1"/>
  <c r="E39" i="82"/>
  <c r="E37" i="82"/>
  <c r="C31" i="42" l="1"/>
  <c r="F37" i="42" l="1"/>
  <c r="O18" i="21"/>
  <c r="C5" i="49" l="1"/>
  <c r="F21" i="41"/>
  <c r="C25" i="49" l="1"/>
  <c r="I14" i="62"/>
  <c r="L13" i="51"/>
  <c r="L14" i="62"/>
  <c r="O15" i="21"/>
  <c r="E19" i="82" l="1"/>
  <c r="E10" i="82"/>
  <c r="E25" i="82"/>
  <c r="C47" i="62" l="1"/>
  <c r="C49" i="62" s="1"/>
  <c r="F47" i="62"/>
  <c r="F49" i="62" s="1"/>
  <c r="C59" i="62"/>
  <c r="C62" i="62" s="1"/>
  <c r="F59" i="62"/>
  <c r="F62" i="62" s="1"/>
  <c r="I16" i="62"/>
  <c r="I59" i="62"/>
  <c r="I62" i="62" s="1"/>
  <c r="I78" i="62"/>
  <c r="I80" i="62" s="1"/>
  <c r="I89" i="62"/>
  <c r="C86" i="62"/>
  <c r="C89" i="62" s="1"/>
  <c r="C78" i="62"/>
  <c r="C80" i="62" s="1"/>
  <c r="C63" i="62" l="1"/>
  <c r="I47" i="62"/>
  <c r="I49" i="62" s="1"/>
  <c r="I63" i="62" s="1"/>
  <c r="C43" i="51"/>
  <c r="C60" i="51" s="1"/>
  <c r="C33" i="51"/>
  <c r="C24" i="62" s="1"/>
  <c r="I12" i="51"/>
  <c r="I13" i="62" s="1"/>
  <c r="C25" i="51"/>
  <c r="C24" i="51"/>
  <c r="C19" i="51"/>
  <c r="C55" i="51" s="1"/>
  <c r="C21" i="51" l="1"/>
  <c r="C59" i="51" s="1"/>
  <c r="C58" i="51" s="1"/>
  <c r="I8" i="51"/>
  <c r="I9" i="62" s="1"/>
  <c r="I7" i="51"/>
  <c r="I8" i="62" s="1"/>
  <c r="C27" i="42" l="1"/>
  <c r="I31" i="51" l="1"/>
  <c r="C11" i="42"/>
  <c r="C10" i="42"/>
  <c r="C48" i="40"/>
  <c r="L7" i="51"/>
  <c r="C8" i="42"/>
  <c r="C36" i="42"/>
  <c r="C26" i="42"/>
  <c r="F26" i="42" s="1"/>
  <c r="C17" i="42"/>
  <c r="C12" i="42"/>
  <c r="C37" i="70"/>
  <c r="C28" i="70"/>
  <c r="C9" i="51" l="1"/>
  <c r="C10" i="62" s="1"/>
  <c r="C31" i="51"/>
  <c r="C22" i="62" s="1"/>
  <c r="C29" i="62" s="1"/>
  <c r="C31" i="62" s="1"/>
  <c r="F31" i="51"/>
  <c r="F39" i="51" s="1"/>
  <c r="F46" i="51" s="1"/>
  <c r="C32" i="51"/>
  <c r="C23" i="62" s="1"/>
  <c r="F32" i="51"/>
  <c r="F23" i="62" s="1"/>
  <c r="C10" i="51"/>
  <c r="C11" i="62" s="1"/>
  <c r="C18" i="42"/>
  <c r="I10" i="51"/>
  <c r="I11" i="62" s="1"/>
  <c r="I36" i="51"/>
  <c r="I34" i="51" s="1"/>
  <c r="C31" i="70"/>
  <c r="I16" i="51"/>
  <c r="I17" i="62" s="1"/>
  <c r="I13" i="51"/>
  <c r="C32" i="40"/>
  <c r="C37" i="42"/>
  <c r="I19" i="62" s="1"/>
  <c r="I20" i="51"/>
  <c r="I19" i="51" s="1"/>
  <c r="I22" i="62"/>
  <c r="C28" i="42"/>
  <c r="C9" i="42"/>
  <c r="F31" i="42"/>
  <c r="C39" i="51" l="1"/>
  <c r="C52" i="51" s="1"/>
  <c r="C8" i="51"/>
  <c r="C9" i="62" s="1"/>
  <c r="C19" i="62"/>
  <c r="F52" i="51"/>
  <c r="I33" i="51"/>
  <c r="C25" i="42"/>
  <c r="O32" i="21" s="1"/>
  <c r="C35" i="40"/>
  <c r="I56" i="51"/>
  <c r="I55" i="51" s="1"/>
  <c r="C40" i="70"/>
  <c r="F60" i="51"/>
  <c r="F57" i="51"/>
  <c r="H15" i="62"/>
  <c r="B27" i="42"/>
  <c r="F78" i="62"/>
  <c r="F80" i="62" s="1"/>
  <c r="F86" i="62"/>
  <c r="F89" i="62" s="1"/>
  <c r="F63" i="62"/>
  <c r="L59" i="62"/>
  <c r="L62" i="62" s="1"/>
  <c r="L78" i="62"/>
  <c r="L80" i="62" s="1"/>
  <c r="L89" i="62"/>
  <c r="F24" i="62"/>
  <c r="L16" i="62"/>
  <c r="L12" i="51"/>
  <c r="L13" i="62" s="1"/>
  <c r="B37" i="70"/>
  <c r="B36" i="42"/>
  <c r="H20" i="51" s="1"/>
  <c r="H19" i="51" s="1"/>
  <c r="H56" i="51" s="1"/>
  <c r="H41" i="51"/>
  <c r="H57" i="51" s="1"/>
  <c r="B9" i="40"/>
  <c r="F25" i="51"/>
  <c r="E44" i="82"/>
  <c r="E22" i="82"/>
  <c r="G28" i="21"/>
  <c r="K28" i="21"/>
  <c r="K33" i="21" s="1"/>
  <c r="K35" i="21" s="1"/>
  <c r="N25" i="21"/>
  <c r="N34" i="21"/>
  <c r="H28" i="21"/>
  <c r="L28" i="21"/>
  <c r="C35" i="21"/>
  <c r="F28" i="21"/>
  <c r="F33" i="21" s="1"/>
  <c r="F35" i="21" s="1"/>
  <c r="K15" i="21"/>
  <c r="H11" i="21"/>
  <c r="H16" i="21" s="1"/>
  <c r="H19" i="21" s="1"/>
  <c r="C11" i="21"/>
  <c r="C16" i="21" s="1"/>
  <c r="C19" i="21" s="1"/>
  <c r="F11" i="21"/>
  <c r="F16" i="21" s="1"/>
  <c r="F19" i="21" s="1"/>
  <c r="J11" i="21"/>
  <c r="J16" i="21" s="1"/>
  <c r="J19" i="21" s="1"/>
  <c r="D11" i="21"/>
  <c r="G11" i="21"/>
  <c r="I11" i="21"/>
  <c r="K11" i="21"/>
  <c r="K16" i="21" s="1"/>
  <c r="K19" i="21" s="1"/>
  <c r="L11" i="21"/>
  <c r="L16" i="21" s="1"/>
  <c r="L19" i="21" s="1"/>
  <c r="M11" i="21"/>
  <c r="M16" i="21" s="1"/>
  <c r="M19" i="21" s="1"/>
  <c r="B19" i="51"/>
  <c r="B48" i="40"/>
  <c r="B25" i="51"/>
  <c r="B5" i="49"/>
  <c r="B33" i="40"/>
  <c r="B24" i="51"/>
  <c r="E32" i="21"/>
  <c r="F32" i="21"/>
  <c r="G32" i="21"/>
  <c r="H32" i="21"/>
  <c r="I32" i="21"/>
  <c r="J32" i="21"/>
  <c r="K32" i="21"/>
  <c r="L32" i="21"/>
  <c r="M32" i="21"/>
  <c r="E11" i="21"/>
  <c r="E16" i="21" s="1"/>
  <c r="E19" i="21" s="1"/>
  <c r="N36" i="21"/>
  <c r="D32" i="21"/>
  <c r="B32" i="21"/>
  <c r="N31" i="21"/>
  <c r="N29" i="21"/>
  <c r="N27" i="21"/>
  <c r="N26" i="21"/>
  <c r="N24" i="21"/>
  <c r="N18" i="21"/>
  <c r="M15" i="21"/>
  <c r="L15" i="21"/>
  <c r="J15" i="21"/>
  <c r="I15" i="21"/>
  <c r="H15" i="21"/>
  <c r="G15" i="21"/>
  <c r="F15" i="21"/>
  <c r="E15" i="21"/>
  <c r="D15" i="21"/>
  <c r="C15" i="21"/>
  <c r="B15" i="21"/>
  <c r="N14" i="21"/>
  <c r="N13" i="21"/>
  <c r="N12" i="21"/>
  <c r="N10" i="21"/>
  <c r="H16" i="62"/>
  <c r="H12" i="51"/>
  <c r="H13" i="62" s="1"/>
  <c r="H8" i="51"/>
  <c r="H9" i="62" s="1"/>
  <c r="H47" i="62"/>
  <c r="H49" i="62" s="1"/>
  <c r="B43" i="51"/>
  <c r="B60" i="51" s="1"/>
  <c r="H34" i="51"/>
  <c r="B13" i="42"/>
  <c r="B12" i="42"/>
  <c r="O13" i="21"/>
  <c r="H59" i="62"/>
  <c r="H62" i="62" s="1"/>
  <c r="H89" i="62"/>
  <c r="B86" i="62"/>
  <c r="B89" i="62" s="1"/>
  <c r="H78" i="62"/>
  <c r="H80" i="62" s="1"/>
  <c r="B78" i="62"/>
  <c r="B80" i="62" s="1"/>
  <c r="B59" i="62"/>
  <c r="B62" i="62" s="1"/>
  <c r="B47" i="62"/>
  <c r="B49" i="62" s="1"/>
  <c r="B31" i="42"/>
  <c r="H16" i="51" s="1"/>
  <c r="M28" i="21"/>
  <c r="I28" i="21"/>
  <c r="F24" i="51"/>
  <c r="B8" i="42"/>
  <c r="O12" i="21"/>
  <c r="H10" i="51"/>
  <c r="H11" i="62" s="1"/>
  <c r="N22" i="21"/>
  <c r="H7" i="51"/>
  <c r="H8" i="62" s="1"/>
  <c r="J28" i="21"/>
  <c r="J33" i="21" s="1"/>
  <c r="J35" i="21" s="1"/>
  <c r="G33" i="21" l="1"/>
  <c r="G35" i="21" s="1"/>
  <c r="C46" i="51"/>
  <c r="I33" i="21"/>
  <c r="I35" i="21" s="1"/>
  <c r="M33" i="21"/>
  <c r="M35" i="21" s="1"/>
  <c r="L33" i="21"/>
  <c r="L35" i="21" s="1"/>
  <c r="E35" i="21"/>
  <c r="H55" i="51"/>
  <c r="H17" i="62"/>
  <c r="L10" i="51"/>
  <c r="L11" i="62" s="1"/>
  <c r="H14" i="62"/>
  <c r="B25" i="49"/>
  <c r="N32" i="21"/>
  <c r="H33" i="21"/>
  <c r="H35" i="21" s="1"/>
  <c r="B32" i="40"/>
  <c r="B35" i="40" s="1"/>
  <c r="H11" i="51" s="1"/>
  <c r="I11" i="51"/>
  <c r="I24" i="62"/>
  <c r="I39" i="51"/>
  <c r="I52" i="51" s="1"/>
  <c r="E34" i="82"/>
  <c r="B63" i="62"/>
  <c r="H63" i="62"/>
  <c r="B55" i="51"/>
  <c r="B21" i="51"/>
  <c r="B59" i="51" s="1"/>
  <c r="B58" i="51" s="1"/>
  <c r="F21" i="51"/>
  <c r="F59" i="51" s="1"/>
  <c r="F58" i="51" s="1"/>
  <c r="B17" i="42"/>
  <c r="B18" i="42" s="1"/>
  <c r="B19" i="62" s="1"/>
  <c r="B10" i="42"/>
  <c r="B31" i="51"/>
  <c r="B22" i="62" s="1"/>
  <c r="F11" i="62"/>
  <c r="F10" i="62"/>
  <c r="B37" i="42"/>
  <c r="L16" i="51"/>
  <c r="L17" i="62" s="1"/>
  <c r="B9" i="42"/>
  <c r="B33" i="51"/>
  <c r="B24" i="62" s="1"/>
  <c r="N15" i="21"/>
  <c r="G16" i="21"/>
  <c r="G19" i="21" s="1"/>
  <c r="N21" i="21"/>
  <c r="B40" i="70"/>
  <c r="B28" i="42"/>
  <c r="B25" i="42" s="1"/>
  <c r="B11" i="42"/>
  <c r="F19" i="51"/>
  <c r="F56" i="51" s="1"/>
  <c r="F55" i="51" s="1"/>
  <c r="N8" i="21"/>
  <c r="H31" i="51"/>
  <c r="N11" i="21"/>
  <c r="O11" i="21"/>
  <c r="I16" i="21"/>
  <c r="I19" i="21" s="1"/>
  <c r="N23" i="21"/>
  <c r="B10" i="51"/>
  <c r="B11" i="62" s="1"/>
  <c r="N20" i="21"/>
  <c r="N39" i="21" s="1"/>
  <c r="H9" i="51"/>
  <c r="H17" i="51" l="1"/>
  <c r="H26" i="51" s="1"/>
  <c r="B50" i="40"/>
  <c r="B23" i="42" s="1"/>
  <c r="B22" i="42" s="1"/>
  <c r="B34" i="42" s="1"/>
  <c r="I29" i="62"/>
  <c r="I31" i="62" s="1"/>
  <c r="C9" i="40"/>
  <c r="L47" i="62"/>
  <c r="L49" i="62" s="1"/>
  <c r="L63" i="62" s="1"/>
  <c r="I46" i="51"/>
  <c r="I40" i="51"/>
  <c r="F22" i="62"/>
  <c r="F29" i="62" s="1"/>
  <c r="F31" i="62" s="1"/>
  <c r="E7" i="82"/>
  <c r="B9" i="51"/>
  <c r="B10" i="62" s="1"/>
  <c r="H19" i="62"/>
  <c r="N28" i="21"/>
  <c r="H22" i="62"/>
  <c r="B7" i="42"/>
  <c r="L8" i="51"/>
  <c r="B8" i="51"/>
  <c r="B9" i="62" s="1"/>
  <c r="N16" i="21"/>
  <c r="H10" i="62"/>
  <c r="H18" i="62" s="1"/>
  <c r="H33" i="51"/>
  <c r="H24" i="62" s="1"/>
  <c r="I9" i="51" l="1"/>
  <c r="H20" i="62"/>
  <c r="H51" i="51"/>
  <c r="E6" i="82"/>
  <c r="L9" i="51"/>
  <c r="L10" i="62" s="1"/>
  <c r="C50" i="40"/>
  <c r="L31" i="51"/>
  <c r="L22" i="62" s="1"/>
  <c r="L9" i="62"/>
  <c r="L20" i="51"/>
  <c r="L19" i="51" s="1"/>
  <c r="L33" i="51"/>
  <c r="H29" i="62"/>
  <c r="H31" i="62" s="1"/>
  <c r="N19" i="21"/>
  <c r="F19" i="62"/>
  <c r="B14" i="42"/>
  <c r="B7" i="51"/>
  <c r="B17" i="51" s="1"/>
  <c r="H39" i="51"/>
  <c r="H52" i="51" s="1"/>
  <c r="B23" i="62"/>
  <c r="B29" i="62" s="1"/>
  <c r="B31" i="62" s="1"/>
  <c r="B39" i="51"/>
  <c r="B38" i="42"/>
  <c r="F9" i="62"/>
  <c r="N33" i="21"/>
  <c r="L56" i="51" l="1"/>
  <c r="L55" i="51" s="1"/>
  <c r="O28" i="21"/>
  <c r="H32" i="62"/>
  <c r="H90" i="62"/>
  <c r="C23" i="42"/>
  <c r="L39" i="51"/>
  <c r="L46" i="51" s="1"/>
  <c r="H53" i="51"/>
  <c r="E5" i="82"/>
  <c r="E52" i="82" s="1"/>
  <c r="L11" i="51"/>
  <c r="L17" i="51" s="1"/>
  <c r="I10" i="62"/>
  <c r="I17" i="51"/>
  <c r="L19" i="62"/>
  <c r="L24" i="62"/>
  <c r="N35" i="21"/>
  <c r="N37" i="21" s="1"/>
  <c r="C6" i="21"/>
  <c r="C37" i="21" s="1"/>
  <c r="D6" i="21" s="1"/>
  <c r="D37" i="21" s="1"/>
  <c r="E6" i="21" s="1"/>
  <c r="E37" i="21" s="1"/>
  <c r="F6" i="21" s="1"/>
  <c r="F37" i="21" s="1"/>
  <c r="G6" i="21" s="1"/>
  <c r="G37" i="21" s="1"/>
  <c r="H6" i="21" s="1"/>
  <c r="H37" i="21" s="1"/>
  <c r="I6" i="21" s="1"/>
  <c r="I37" i="21" s="1"/>
  <c r="J6" i="21" s="1"/>
  <c r="J37" i="21" s="1"/>
  <c r="K6" i="21" s="1"/>
  <c r="K37" i="21" s="1"/>
  <c r="L6" i="21" s="1"/>
  <c r="L37" i="21" s="1"/>
  <c r="M6" i="21" s="1"/>
  <c r="M37" i="21" s="1"/>
  <c r="B8" i="62"/>
  <c r="B18" i="62" s="1"/>
  <c r="B20" i="62" s="1"/>
  <c r="B32" i="62" s="1"/>
  <c r="B19" i="42"/>
  <c r="L8" i="62"/>
  <c r="L18" i="62" s="1"/>
  <c r="H40" i="51"/>
  <c r="B46" i="51"/>
  <c r="H46" i="51"/>
  <c r="L26" i="51" l="1"/>
  <c r="F18" i="51"/>
  <c r="C22" i="42"/>
  <c r="B90" i="62"/>
  <c r="B91" i="62" s="1"/>
  <c r="L20" i="62"/>
  <c r="E53" i="82"/>
  <c r="I18" i="62"/>
  <c r="I20" i="62" s="1"/>
  <c r="L29" i="62"/>
  <c r="L31" i="62" s="1"/>
  <c r="I51" i="51"/>
  <c r="I53" i="51" s="1"/>
  <c r="I61" i="51" s="1"/>
  <c r="I26" i="51"/>
  <c r="L52" i="51"/>
  <c r="L40" i="51"/>
  <c r="H61" i="51"/>
  <c r="L51" i="51"/>
  <c r="B40" i="42"/>
  <c r="B26" i="51"/>
  <c r="B18" i="51"/>
  <c r="B51" i="51"/>
  <c r="B53" i="51" s="1"/>
  <c r="F34" i="42" l="1"/>
  <c r="C34" i="42"/>
  <c r="C38" i="42" s="1"/>
  <c r="O35" i="21" s="1"/>
  <c r="I32" i="62"/>
  <c r="I90" i="62"/>
  <c r="B61" i="51"/>
  <c r="H54" i="51"/>
  <c r="L32" i="62"/>
  <c r="L90" i="62"/>
  <c r="L53" i="51"/>
  <c r="C7" i="42"/>
  <c r="L61" i="51" l="1"/>
  <c r="C14" i="42"/>
  <c r="C7" i="51"/>
  <c r="C19" i="42" l="1"/>
  <c r="C40" i="42" s="1"/>
  <c r="C17" i="51"/>
  <c r="C26" i="51" s="1"/>
  <c r="C8" i="62"/>
  <c r="C18" i="62" s="1"/>
  <c r="C20" i="62" s="1"/>
  <c r="C32" i="62" s="1"/>
  <c r="C90" i="62" l="1"/>
  <c r="C51" i="51"/>
  <c r="C53" i="51" s="1"/>
  <c r="C18" i="51"/>
  <c r="O19" i="21" l="1"/>
  <c r="F40" i="42"/>
  <c r="C61" i="51"/>
  <c r="I54" i="51"/>
  <c r="F8" i="62"/>
  <c r="F18" i="62" s="1"/>
  <c r="F20" i="62" s="1"/>
  <c r="F32" i="62" s="1"/>
  <c r="F51" i="51" l="1"/>
  <c r="F53" i="51" s="1"/>
  <c r="L54" i="51" s="1"/>
  <c r="F26" i="51"/>
  <c r="F90" i="62"/>
  <c r="M90" i="62" s="1"/>
  <c r="F61" i="51" l="1"/>
</calcChain>
</file>

<file path=xl/sharedStrings.xml><?xml version="1.0" encoding="utf-8"?>
<sst xmlns="http://schemas.openxmlformats.org/spreadsheetml/2006/main" count="613" uniqueCount="420">
  <si>
    <t xml:space="preserve"> 1.6. Elszámolásból származó bevételek</t>
  </si>
  <si>
    <t>1. Települési önkormányzatok működésének támogatása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</si>
  <si>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</si>
  <si>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</si>
  <si>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</si>
  <si>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</si>
  <si>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</si>
  <si>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</si>
  <si>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</si>
  <si>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</si>
  <si>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</si>
  <si>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</si>
  <si>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Finanszírozási  bevételek összesen:</t>
  </si>
  <si>
    <t>Bevételek összesen:</t>
  </si>
  <si>
    <t>Működési kiadások</t>
  </si>
  <si>
    <t>Önkormányzat</t>
  </si>
  <si>
    <t>Felhalmozási kiadások</t>
  </si>
  <si>
    <t>Fejlesztési kiadások</t>
  </si>
  <si>
    <t>Felújítás</t>
  </si>
  <si>
    <t>Tartalékok</t>
  </si>
  <si>
    <t>Általános</t>
  </si>
  <si>
    <t>Költségvetési kiadások összesen:</t>
  </si>
  <si>
    <t>Hiteltörlesztés</t>
  </si>
  <si>
    <t>Finanszírozási kiadások összesen:</t>
  </si>
  <si>
    <t>Kiadások összesen:</t>
  </si>
  <si>
    <t>1. Önkormányzat működési támogatásai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</si>
  <si>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</si>
  <si>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</si>
  <si>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</si>
  <si>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</si>
  <si>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</si>
  <si>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</si>
  <si>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</si>
  <si>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1. Felhalmozási célú önkormányzati támogatások</t>
  </si>
  <si>
    <t xml:space="preserve"> 1.1. Felhalmozási célú központosított támogatások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</si>
  <si>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</si>
  <si>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</si>
  <si>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</si>
  <si>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</si>
  <si>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1.1. Építményadó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</si>
  <si>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</si>
  <si>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</si>
  <si>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</si>
  <si>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</si>
  <si>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</si>
  <si>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</si>
  <si>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</si>
  <si>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</si>
  <si>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</si>
  <si>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</si>
  <si>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</si>
  <si>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</si>
  <si>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4.1. Bérleti díjak</t>
  </si>
  <si>
    <t>4.2. Részesedés után kapott osztalék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</si>
  <si>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</si>
  <si>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</si>
  <si>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</si>
  <si>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</si>
  <si>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</si>
  <si>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4. Részesedések értékesítése</t>
  </si>
  <si>
    <t xml:space="preserve">  5. Részesedések megszűnéséhez kapcsolódó bevételek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</si>
  <si>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</si>
  <si>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</si>
  <si>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</si>
  <si>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</si>
  <si>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</si>
  <si>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</si>
  <si>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</si>
  <si>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</si>
  <si>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</si>
  <si>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Finanszírozási bevételek összesen:</t>
  </si>
  <si>
    <t>Összes bevétel:</t>
  </si>
  <si>
    <t xml:space="preserve">  ebből közfoglalkoztatott</t>
  </si>
  <si>
    <t>Önkormányzati hivatal működtetésének támogatás (beszámítás után)</t>
  </si>
  <si>
    <t>Önkormányzati hivatal működtetésének támogatás elismert hivatali létsz.</t>
  </si>
  <si>
    <t>Zöldterület-gazdálk-al kapcsolatos feladatok ellátásának támog.</t>
  </si>
  <si>
    <t>Beszámítás összege</t>
  </si>
  <si>
    <t>Közvilágítás fenntartásának támogatás</t>
  </si>
  <si>
    <t>Köztemető fenntartással kapcsolatos feladatok támog.</t>
  </si>
  <si>
    <t>Közutak fenntartásának támogatás</t>
  </si>
  <si>
    <t>Lakott külterületekkel kapcsolatos feladatok támogatása</t>
  </si>
  <si>
    <t>Összesen</t>
  </si>
  <si>
    <t>Megnevezés</t>
  </si>
  <si>
    <t>Összesen:</t>
  </si>
  <si>
    <t>2. Munkaadót terhelő járulékok</t>
  </si>
  <si>
    <t>3. Dologi kiadások</t>
  </si>
  <si>
    <t>5. Egyéb működési célú kiadások</t>
  </si>
  <si>
    <t>1. Személyi juttatások</t>
  </si>
  <si>
    <t>4. Ellátottak pénzbeli juttatásai</t>
  </si>
  <si>
    <t>Nyári szociális gyermekétkeztetés</t>
  </si>
  <si>
    <t>Rendkívüli gyermekvédelmi támogatás</t>
  </si>
  <si>
    <t>Temetési segély</t>
  </si>
  <si>
    <t>Köztemetés</t>
  </si>
  <si>
    <t>Forgatási célú értékpapír vásárlás</t>
  </si>
  <si>
    <t>1.2. Felhalmozási célú egyéb támogatások</t>
  </si>
  <si>
    <t>Ebből: bérleti díjak</t>
  </si>
  <si>
    <t>IV. Finanszírozási kiadások</t>
  </si>
  <si>
    <t>Hitel törlesztés</t>
  </si>
  <si>
    <t>IV. Finanszírozási kiadások összesen:</t>
  </si>
  <si>
    <t>Felhalmozási kiadások összesen:</t>
  </si>
  <si>
    <t xml:space="preserve">1. Működési bevételek </t>
  </si>
  <si>
    <t>2. Működési kiadások</t>
  </si>
  <si>
    <t>1. Működési célú támogatások államháztartáson belülről</t>
  </si>
  <si>
    <t>2. Közhatalmi bevételek</t>
  </si>
  <si>
    <t xml:space="preserve">3. Működési bevételek </t>
  </si>
  <si>
    <t>3. Dologi  kiadások</t>
  </si>
  <si>
    <t>4. Működési célú átvett pénzeszközök államháztartáson kivülről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</si>
  <si>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</si>
  <si>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</si>
  <si>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</si>
  <si>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</si>
  <si>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</si>
  <si>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</si>
  <si>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</si>
  <si>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Költségvetési hiány külső finanszírozása működési célú</t>
  </si>
  <si>
    <t>6. Értékpapír kibocsátás, értékesítés</t>
  </si>
  <si>
    <t>7. Hitelfelvétel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</si>
  <si>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</si>
  <si>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</si>
  <si>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</si>
  <si>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</si>
  <si>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</si>
  <si>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</si>
  <si>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</si>
  <si>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</si>
  <si>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</si>
  <si>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</si>
  <si>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</si>
  <si>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</si>
  <si>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</si>
  <si>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</si>
  <si>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</si>
  <si>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</si>
  <si>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</si>
  <si>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</si>
  <si>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</si>
  <si>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</si>
  <si>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</si>
  <si>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</si>
  <si>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</si>
  <si>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</si>
  <si>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</si>
  <si>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</si>
  <si>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</si>
  <si>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</si>
  <si>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</si>
  <si>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</si>
  <si>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</si>
  <si>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</si>
  <si>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</si>
  <si>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</si>
  <si>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</si>
  <si>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</si>
  <si>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</si>
  <si>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</si>
  <si>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</si>
  <si>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</si>
  <si>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</si>
  <si>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</si>
  <si>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</si>
  <si>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</si>
  <si>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</si>
  <si>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</si>
  <si>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</si>
  <si>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</si>
  <si>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</si>
  <si>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</si>
  <si>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</si>
  <si>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</si>
  <si>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</si>
  <si>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</si>
  <si>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</si>
  <si>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</si>
  <si>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</si>
  <si>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</si>
  <si>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</si>
  <si>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</si>
  <si>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</si>
  <si>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</si>
  <si>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</si>
  <si>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</si>
  <si>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</si>
  <si>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</si>
  <si>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</si>
  <si>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</si>
  <si>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</si>
  <si>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</si>
  <si>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</si>
  <si>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</si>
  <si>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</si>
  <si>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</si>
  <si>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</si>
  <si>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</si>
  <si>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</si>
  <si>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</si>
  <si>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</si>
  <si>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</si>
  <si>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</si>
  <si>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</si>
  <si>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</si>
  <si>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</si>
  <si>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</si>
  <si>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</si>
  <si>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Nyitó pénzkészlet</t>
  </si>
  <si>
    <t>Közhatalmi bevételek</t>
  </si>
  <si>
    <t>Működési bevételek összesen:</t>
  </si>
  <si>
    <t>Felhalmozási bevételek összesen</t>
  </si>
  <si>
    <t>Ellátottak pénzbeli juttatásai</t>
  </si>
  <si>
    <t>Működési kiadások összesen:</t>
  </si>
  <si>
    <t>Beruházások</t>
  </si>
  <si>
    <t>Felújítások</t>
  </si>
  <si>
    <t>Felhalmozási célú kiadások összesen</t>
  </si>
  <si>
    <t>Záró pénzkészlet</t>
  </si>
  <si>
    <t>MEGNEVEZÉS</t>
  </si>
  <si>
    <t xml:space="preserve">      2.3.3. Települési adó</t>
  </si>
  <si>
    <t>9. Egyéb működési bevételek (kártérítés, kötbér, stb.)</t>
  </si>
  <si>
    <t>Egyéb önkormányzati feladatok támogatása</t>
  </si>
  <si>
    <t>Méltányos ápolási díj</t>
  </si>
  <si>
    <t>1. Költségvetési hiány belső finanszírozására szolgáló finanszírozási  bevételek</t>
  </si>
  <si>
    <t>I. HELYI ÖNKORMÁNYZATOK MŰKÖDÉSÉNEK ÁLT.TÁMOGATÁSA</t>
  </si>
  <si>
    <t>III. SZOCIÁLIS, GYERMEKJÓLÉTI  ÉS GYERMEKÉTKEZTETÉSI FELADATAI</t>
  </si>
  <si>
    <t>6. Pénzforgalom nélküli kiadások (tartalék)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</si>
  <si>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</si>
  <si>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</si>
  <si>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</si>
  <si>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</si>
  <si>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</si>
  <si>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</si>
  <si>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</si>
  <si>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</si>
  <si>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Állami támogatás megelőlegezés visszafizetése</t>
  </si>
  <si>
    <t>7. Állami támogatás megelőlegezés visszafizetése</t>
  </si>
  <si>
    <t>8. Hitelek törlesztése</t>
  </si>
  <si>
    <t>9. Betét vásárlás</t>
  </si>
  <si>
    <t>3.3. Felhalmozási célú visszatérítendő támogatások, kölcsönök nyújtása áh-n belülre</t>
  </si>
  <si>
    <t>Önkormányzati támogatás</t>
  </si>
  <si>
    <t>Település üzemeltetéséhez kapcsolódó feladatellát.támog.(beszámítás után)</t>
  </si>
  <si>
    <t>Egyéb önkormányzati feladatok támogatása (beszámítás után)</t>
  </si>
  <si>
    <t>Lakott külterületekkel kapcsolatos feladatok támogatása(beszámítás után)</t>
  </si>
  <si>
    <t>Üdülőhelyi feladatok támogatása (beszámitás után)</t>
  </si>
  <si>
    <t xml:space="preserve">Üdülőhelyi feladatok támogatása </t>
  </si>
  <si>
    <t>II. EGYES KÖZNEVELÉSI FELADATOK TÁMOGATÁSA</t>
  </si>
  <si>
    <t>Beruházás</t>
  </si>
  <si>
    <t>2. Működési célú támogatások államháztartáson kívülre</t>
  </si>
  <si>
    <t>Önkormányzat költségvetése</t>
  </si>
  <si>
    <t>I. Személyi juttatás</t>
  </si>
  <si>
    <t>II. Munkaadót terhelő járulékok</t>
  </si>
  <si>
    <t>III. Dologi kiadások</t>
  </si>
  <si>
    <t>Ebből</t>
  </si>
  <si>
    <t>1. Működési célú támogatások államháztartáson belülre</t>
  </si>
  <si>
    <t>3. Állami támogatás visszafizetése elszámolás alapján</t>
  </si>
  <si>
    <t>IV. Összesen:</t>
  </si>
  <si>
    <t>V. Ellátottak pénzbeli juttatásai</t>
  </si>
  <si>
    <t>Közlekedési támogatás</t>
  </si>
  <si>
    <t>V. Összesen</t>
  </si>
  <si>
    <t>Önkormányzati feladatok összesen:</t>
  </si>
  <si>
    <t xml:space="preserve">Szakmai anyagok beszerzése                                                                                              </t>
  </si>
  <si>
    <t xml:space="preserve">Üzemeltetési anyagok beszerzése                                                                                         </t>
  </si>
  <si>
    <t xml:space="preserve">Árubeszerzés                                                                                                            </t>
  </si>
  <si>
    <t xml:space="preserve">Informatikai szolgáltatások igénybevétele                                                                               </t>
  </si>
  <si>
    <t xml:space="preserve">Egyéb kommunikációs szolgáltatások                                                                                      </t>
  </si>
  <si>
    <t xml:space="preserve">Közüzemi díjak                                                                                                          </t>
  </si>
  <si>
    <t xml:space="preserve">Vásárolt élelmezés                                                                                                      </t>
  </si>
  <si>
    <t xml:space="preserve">Karbantartási, kisjavítási szolgáltatások                                                                               </t>
  </si>
  <si>
    <t xml:space="preserve">Közvetített szolgáltatások                                                                                     </t>
  </si>
  <si>
    <t xml:space="preserve">Bérleti és lízing díjak                                                                                     </t>
  </si>
  <si>
    <t xml:space="preserve">Szakmai tevékenységet segítő szolgáltatások                                                                             </t>
  </si>
  <si>
    <t xml:space="preserve">Egyéb szolgáltatások                                                                                                    </t>
  </si>
  <si>
    <t xml:space="preserve">Kiküldetések kiadásai                                                                                                   </t>
  </si>
  <si>
    <t xml:space="preserve">Reklám- és propagandakiadások                                                                                           </t>
  </si>
  <si>
    <t xml:space="preserve">Működési célú előzetesen felszámított általános forgalmi adó                                                            </t>
  </si>
  <si>
    <t xml:space="preserve">Fizetendő általános forgalmi adó                                                                                        </t>
  </si>
  <si>
    <t xml:space="preserve">Egyéb dologi kiadások                                                                                                   </t>
  </si>
  <si>
    <t>Egyéb önkormányzati támogatás (tüzifa támogatás)</t>
  </si>
  <si>
    <t>Működési célú támogatások államháztartáson belülről</t>
  </si>
  <si>
    <t>Működési célú átvett pénzeszk. Áh-n kívülről</t>
  </si>
  <si>
    <t>Felhalmozási célú támogatások államháztartáson belülről</t>
  </si>
  <si>
    <t xml:space="preserve">Felhalmozási bevételek  </t>
  </si>
  <si>
    <t>Felhalm. célú átvett pénzeszk. Áh-n kívülről</t>
  </si>
  <si>
    <t>Finanszírozási bevételek (hitel, kötvény, értékpapír, állami tám.megelőlegezés)</t>
  </si>
  <si>
    <t>Költségvetési maradvány igénybevétele</t>
  </si>
  <si>
    <t>Személyi juttatások</t>
  </si>
  <si>
    <t>Munkaadót terhelő járulékok és szoc. hj. adó</t>
  </si>
  <si>
    <t>Dologi kiadások</t>
  </si>
  <si>
    <t>Egyéb működési célú támogatások áh-n kívülre</t>
  </si>
  <si>
    <t>Egyéb működési célú támogatások áh-n belülre</t>
  </si>
  <si>
    <t>Támogatás visszafizetés</t>
  </si>
  <si>
    <t>Egyéb felhalmozási kiadások</t>
  </si>
  <si>
    <t>Finanszírozási kiadások (hitel törlesztés, értékpapír visszavásárlás, állami tám.megelőlegezés visszafizetése)</t>
  </si>
  <si>
    <t>Korrekció (előző évi kifizetés miatt)</t>
  </si>
  <si>
    <t>Születési segély</t>
  </si>
  <si>
    <t>8. Állami támogatás megelőlegezés</t>
  </si>
  <si>
    <t>2.1. Hitel, kölcsön felvétele áh-n kívülről</t>
  </si>
  <si>
    <t>2.1.1. Hosszú lejáratú hitelek, kölcsönök felvétele</t>
  </si>
  <si>
    <t>2.1.2. Likviditási célú hitelek, kölcsönök felvétele pénzügyi vállalkozástól</t>
  </si>
  <si>
    <t>2.1.3. Rövid lejáratú hitelek, kölcsönök felvétele</t>
  </si>
  <si>
    <t>2.2. Belföldi értékpapírok bevételei</t>
  </si>
  <si>
    <t xml:space="preserve">   2.2.1. Forgatási célú értékpapírok beváltása, értékesítéseű</t>
  </si>
  <si>
    <t xml:space="preserve">  2.2.2. Forgatási célú értékpapírok kibocsátása</t>
  </si>
  <si>
    <t xml:space="preserve"> 2.2.3. Befektetési célú belföldi értékpapírok beváltása, értékesítése</t>
  </si>
  <si>
    <t xml:space="preserve"> 2.2.4. Befektetési célú belföldi értékpapírok kibocsátása</t>
  </si>
  <si>
    <t>2.3. Betét bevonás</t>
  </si>
  <si>
    <t>2.4. Államháztartáson belüli megelőlegezések</t>
  </si>
  <si>
    <t>Egyéb pénzügyi műveletek kiadásai</t>
  </si>
  <si>
    <t>Ápolási díj</t>
  </si>
  <si>
    <t>Működési célú támogatás államháztartáson belülre</t>
  </si>
  <si>
    <t>Közoktatási Intézményfenntartó Társulás (Óvoda)</t>
  </si>
  <si>
    <t>Balatonfüredi Közös Önkormányzati Hivatal (Hivatal)</t>
  </si>
  <si>
    <t>Gyermekjóléti szolgálat</t>
  </si>
  <si>
    <t>Rendelőintézet (Ügyeleti díj)</t>
  </si>
  <si>
    <t>Működési célú támogatás államháztartáson kívülre</t>
  </si>
  <si>
    <t>Pécselyi Ált.Isk. és Óvoda Gyermekeiért Alapítvány</t>
  </si>
  <si>
    <t xml:space="preserve">Pécselyi Sportegyesület </t>
  </si>
  <si>
    <t>Balaton-felvidéki Turisztikai Közhasznú Egyesület</t>
  </si>
  <si>
    <t>Bakonykarszt pályázati támogatás (lakossági víz és szennyv.sz.)</t>
  </si>
  <si>
    <t xml:space="preserve">Tihany Iskoláért alapítvány </t>
  </si>
  <si>
    <t>I. Beruházások</t>
  </si>
  <si>
    <t>I. Beruházások összesen:</t>
  </si>
  <si>
    <t>II. Felújítások</t>
  </si>
  <si>
    <t>II. Felújítások összesen:</t>
  </si>
  <si>
    <t>III. Egyéb felhalmozási kiadások:</t>
  </si>
  <si>
    <t>9. Lekötött betét bevonása</t>
  </si>
  <si>
    <t xml:space="preserve">Egyéb önkormányzati támogatás, átmeneti segély </t>
  </si>
  <si>
    <t>Bérelt önkormányzati lakáson felújítás (ablakcsere)</t>
  </si>
  <si>
    <t>Egyéb felhalm.tám. ÁHB (óvoda fenntartás tám.)</t>
  </si>
  <si>
    <t>Kultúrház korlát</t>
  </si>
  <si>
    <t>1.4. Adósságkonszolidációs tám.</t>
  </si>
  <si>
    <t>1.3. Belterületi utak felújítása támogatás</t>
  </si>
  <si>
    <t>3.1. KKETTKK vissza nem térítendő támogatás</t>
  </si>
  <si>
    <t>Balatonfüredi Többcélú Társulás (Jelzőrendszeres házi segítségnyújtás, Házi segítségnyújtás, belső ellenőrzés)</t>
  </si>
  <si>
    <t xml:space="preserve">    1.1. Előző év költségvetési maradványának  igénybevétele működési célra</t>
  </si>
  <si>
    <t>1.1. Helyi önk. működésének ált. támogatása</t>
  </si>
  <si>
    <t xml:space="preserve">   ebből működési célú támogatás társadalombiztosítási alapból</t>
  </si>
  <si>
    <t>AZ ÖNKORMÁNYZAT FŐÖSSZESÍTŐJE</t>
  </si>
  <si>
    <t>BEVÉTELEK ELŐIRÁNYZATA</t>
  </si>
  <si>
    <t>Az önkormányzat működési bevételei és kiadásai</t>
  </si>
  <si>
    <t>Immateriális javak beszerzése</t>
  </si>
  <si>
    <t>Egyéb tárgyi eszköz beszerzése</t>
  </si>
  <si>
    <t>Kisértékű eszközök beszerzése</t>
  </si>
  <si>
    <t>III. Felhalmozási kiadások összesen:</t>
  </si>
  <si>
    <t>IV. Egyéb működési célú kiadások  (4)</t>
  </si>
  <si>
    <t>Létszám</t>
  </si>
  <si>
    <t>Mutató</t>
  </si>
  <si>
    <t>Fajlagos</t>
  </si>
  <si>
    <t>Ravatalozó felújítása, parkoló térkövezése</t>
  </si>
  <si>
    <t>BURSA ösztöndíj</t>
  </si>
  <si>
    <t xml:space="preserve">  ebből: diák munkabér támogatás</t>
  </si>
  <si>
    <t>ÁLLAMI TÁMOGATÁSOK 2018. ÉV</t>
  </si>
  <si>
    <t>Közös Hivatal (rendszeres gyermekvédelmi)</t>
  </si>
  <si>
    <t>MŰKÖDÉSI KIADÁSOK 2018. ÉV</t>
  </si>
  <si>
    <t xml:space="preserve">Napelemes kandelláber </t>
  </si>
  <si>
    <t>Hulladékgyűjtők 4 db</t>
  </si>
  <si>
    <t>FELHALMOZÁSI KIADÁSOK 2018. ÉV</t>
  </si>
  <si>
    <t>Mozgáskorlátozott feljáró (orvosi rendelő)</t>
  </si>
  <si>
    <t>Hivatal egyéb tárgyi eszközök</t>
  </si>
  <si>
    <t>Belterületi utak felújítása pályázat BMÖFT/107-20/2017.</t>
  </si>
  <si>
    <t>Belterületi utak felújítása pályázati önerő</t>
  </si>
  <si>
    <t>Előző évi közfoglalkoztatási támogatás visszafizetése</t>
  </si>
  <si>
    <t xml:space="preserve">      1.3. Magánszemélyek kommunális adója</t>
  </si>
  <si>
    <t>3. Egyéb közhatalmi bevételek  (bírság, pótlék)</t>
  </si>
  <si>
    <t>5. 2017. évről áthúzódó bérkompenzáció támogatása</t>
  </si>
  <si>
    <t>6. Polgármesteri illetmény támogatása</t>
  </si>
  <si>
    <t>1. Szociális ágazati összevont pótlék</t>
  </si>
  <si>
    <t>2. A települési önkormányzatok szociális feladatainak egyéb támogatása</t>
  </si>
  <si>
    <t>3. Egyéb szociális és gyermekjóléti feladatok támogatása</t>
  </si>
  <si>
    <t>IV. A TELEPÜLÉSI ÖNKORMÁNYZATOK KULTURÁLIS FELADATAINAK TÁMOGATÁSA</t>
  </si>
  <si>
    <t>5. Gyermekétkeztetés támogatása</t>
  </si>
  <si>
    <t xml:space="preserve">       a) Finanszírozás szempontjábol elismert dolgozók bértámogatása</t>
  </si>
  <si>
    <t xml:space="preserve">       b) Gyermekétkeztetés üzemeltetési  támogatása</t>
  </si>
  <si>
    <t>1. d) Települési önkormányzatok nyilvános könyvtári és közművelődési feladatok támogatása</t>
  </si>
  <si>
    <r>
      <t>BEVÉTELEK ÉS KIADÁSOK ELŐIRÁNYZATÁNAK HAVI ÜTEMEZÉSE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2018.  </t>
    </r>
  </si>
  <si>
    <t xml:space="preserve"> Az Önkormányzat  kötelező feladatok bevételei és kiadásai  2018. év</t>
  </si>
  <si>
    <t xml:space="preserve"> Az Önkormányzat önként vállalt feladatok bevételei és kiadásai  2018. év</t>
  </si>
  <si>
    <t xml:space="preserve"> Az Önkormányzat állami (államigazgatási) feladatok bevételei és kiadásai  2018. év</t>
  </si>
  <si>
    <t xml:space="preserve">       e) Falugondnoki vagy tanyagondnoki szolgáltatás</t>
  </si>
  <si>
    <t>2018. évi eredeti előirányzat</t>
  </si>
  <si>
    <t>I. Módosítás</t>
  </si>
  <si>
    <t>Eltérés</t>
  </si>
  <si>
    <t xml:space="preserve"> 1.7. Gyermekétkeztetés</t>
  </si>
  <si>
    <t>Eredeti előirányzat</t>
  </si>
  <si>
    <t>Ravatalozó ajtó, ablak csere (32/2018. (IV. 12.) hat.)</t>
  </si>
  <si>
    <t xml:space="preserve"> 1.5. Helyi önk. Működési célú költségvetési támogatásai és kiegészítő támogatásai BMÖGF/63-12/2018.</t>
  </si>
  <si>
    <t xml:space="preserve">  3. Egyéb tárgyi eszközök értékesítése (30/2018. (IV. 12.) hat.)</t>
  </si>
  <si>
    <t>Balatonfüredi Eötvös Loránd Általános Iskola Tanulóiért Alapítvány (35/2018. (IV. 12.) hat.)</t>
  </si>
  <si>
    <t>Fodrászat bejárati ajtó csere</t>
  </si>
  <si>
    <t xml:space="preserve">  2. Ingatlanok értékesítése (3/2018. (I. 29.) hat.)</t>
  </si>
  <si>
    <t>Település fejlesztési koncepció</t>
  </si>
  <si>
    <t>Bevétele és kiadások mérlege 2018. év</t>
  </si>
  <si>
    <t>2. Munkaadót terhelő járulékok és szoc.hj. adó</t>
  </si>
  <si>
    <t>Helyi önkormányzatok kiegészítő támogatásai</t>
  </si>
  <si>
    <t>9. A települési önkormányzatok szociális célú tüzelőanyag vásárlásához kapcsolódó támogatása</t>
  </si>
  <si>
    <t>Önkormányzati elszámolások</t>
  </si>
  <si>
    <t>II. Módosítás</t>
  </si>
  <si>
    <t>Pécselyi Református Egyházközség 60/2018. (VIII. 09.)</t>
  </si>
  <si>
    <t>Fodrászat ablak csere 49/2018. (VI. 25.)</t>
  </si>
  <si>
    <t>Céltartalék</t>
  </si>
  <si>
    <t>Eszközszerzés EFOP pályázat</t>
  </si>
  <si>
    <t>Kultúrház felújítás    EFOP-1.5.2-16-2017-00016</t>
  </si>
  <si>
    <t>Dologi kiadások EFOP-1.5.2-16-2017-00016</t>
  </si>
  <si>
    <t xml:space="preserve"> Az Önkormányzat felhalmozási bevételei és kiadásai  2018. év</t>
  </si>
  <si>
    <t>Szeptember</t>
  </si>
  <si>
    <t>III. Módosítás</t>
  </si>
  <si>
    <t>EURÓPAI UNIÓS TÁMOGATÁSSAL MEGVALÓSULÓ PROGRAMOK BEVÉTELEI ÉS KIADÁSAI 2018. ÉV</t>
  </si>
  <si>
    <t>EFOP-1.5.2-16-2017-00016</t>
  </si>
  <si>
    <t xml:space="preserve">EU Projekt megnevezése: </t>
  </si>
  <si>
    <t>Humán közszolgáltatások fejlesztése az Észak-Balatoni térségben</t>
  </si>
  <si>
    <t>Bevételek</t>
  </si>
  <si>
    <t>2018 év</t>
  </si>
  <si>
    <t>2019 év</t>
  </si>
  <si>
    <t>2020 év</t>
  </si>
  <si>
    <t>EU forrás</t>
  </si>
  <si>
    <t>Egyéb forrás</t>
  </si>
  <si>
    <t>Saját forrás</t>
  </si>
  <si>
    <t>Kiadások</t>
  </si>
  <si>
    <t>személyi juttatások (bérköltség)</t>
  </si>
  <si>
    <t>személyi juttatások járulékai</t>
  </si>
  <si>
    <t>egyéb személyi kiadások</t>
  </si>
  <si>
    <t>dologi kiadások</t>
  </si>
  <si>
    <t>felújítások</t>
  </si>
  <si>
    <t>beruházások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</si>
</sst>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mmm\ d/"/>
    <numFmt numFmtId="165" formatCode="#,##0.0"/>
    <numFmt numFmtId="166" formatCode="_-* #,##0\ _F_t_-;\-* #,##0\ _F_t_-;_-* &quot;-&quot;??\ _F_t_-;_-@_-"/>
  </numFmts>
  <fonts count="3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2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3" fillId="7" borderId="1" applyNumberFormat="0" applyAlignment="0" applyProtection="0"/>
    <xf numFmtId="0" fontId="17" fillId="23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ill="0" applyBorder="0" applyAlignment="0" applyProtection="0"/>
    <xf numFmtId="43" fontId="22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" fillId="7" borderId="1" applyNumberFormat="0" applyAlignment="0" applyProtection="0"/>
    <xf numFmtId="0" fontId="20" fillId="26" borderId="7" applyNumberFormat="0" applyFont="0" applyAlignment="0" applyProtection="0"/>
    <xf numFmtId="0" fontId="12" fillId="27" borderId="8" applyNumberFormat="0" applyAlignment="0" applyProtection="0"/>
    <xf numFmtId="0" fontId="10" fillId="0" borderId="6" applyNumberFormat="0" applyFill="0" applyAlignment="0" applyProtection="0"/>
    <xf numFmtId="0" fontId="16" fillId="28" borderId="0" applyNumberFormat="0" applyBorder="0" applyAlignment="0" applyProtection="0"/>
    <xf numFmtId="0" fontId="20" fillId="0" borderId="0"/>
    <xf numFmtId="0" fontId="23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6" borderId="7" applyNumberFormat="0" applyFont="0" applyAlignment="0" applyProtection="0"/>
    <xf numFmtId="0" fontId="12" fillId="27" borderId="8" applyNumberFormat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/>
  </cellStyleXfs>
  <cellXfs count="345">
    <xf numFmtId="0" fontId="0" fillId="0" borderId="0" xfId="0"/>
    <xf numFmtId="0" fontId="21" fillId="0" borderId="0" xfId="83" applyFont="1" applyFill="1" applyBorder="1" applyAlignment="1">
      <alignment horizontal="left" vertical="center" wrapText="1"/>
    </xf>
    <xf numFmtId="0" fontId="24" fillId="0" borderId="0" xfId="83" applyFont="1" applyAlignment="1">
      <alignment horizontal="center" wrapText="1"/>
    </xf>
    <xf numFmtId="0" fontId="21" fillId="0" borderId="0" xfId="83" applyFont="1"/>
    <xf numFmtId="0" fontId="24" fillId="0" borderId="14" xfId="83" applyFont="1" applyBorder="1" applyAlignment="1">
      <alignment horizontal="center" vertical="center" wrapText="1"/>
    </xf>
    <xf numFmtId="0" fontId="21" fillId="0" borderId="14" xfId="83" applyFont="1" applyBorder="1"/>
    <xf numFmtId="3" fontId="21" fillId="0" borderId="14" xfId="83" applyNumberFormat="1" applyFont="1" applyBorder="1"/>
    <xf numFmtId="3" fontId="24" fillId="29" borderId="14" xfId="83" applyNumberFormat="1" applyFont="1" applyFill="1" applyBorder="1" applyAlignment="1">
      <alignment horizontal="right" wrapText="1"/>
    </xf>
    <xf numFmtId="0" fontId="21" fillId="0" borderId="0" xfId="71" applyFont="1"/>
    <xf numFmtId="3" fontId="21" fillId="30" borderId="14" xfId="82" applyNumberFormat="1" applyFont="1" applyFill="1" applyBorder="1" applyAlignment="1">
      <alignment horizontal="right" vertical="center" wrapText="1"/>
    </xf>
    <xf numFmtId="0" fontId="24" fillId="0" borderId="0" xfId="71" applyFont="1"/>
    <xf numFmtId="3" fontId="21" fillId="0" borderId="14" xfId="69" applyNumberFormat="1" applyFont="1" applyFill="1" applyBorder="1" applyAlignment="1">
      <alignment horizontal="right"/>
    </xf>
    <xf numFmtId="3" fontId="21" fillId="0" borderId="14" xfId="69" applyNumberFormat="1" applyFont="1" applyFill="1" applyBorder="1" applyAlignment="1"/>
    <xf numFmtId="3" fontId="24" fillId="0" borderId="0" xfId="71" applyNumberFormat="1" applyFont="1" applyBorder="1"/>
    <xf numFmtId="0" fontId="21" fillId="0" borderId="0" xfId="71" applyFont="1" applyBorder="1"/>
    <xf numFmtId="0" fontId="24" fillId="0" borderId="0" xfId="71" applyFont="1" applyBorder="1"/>
    <xf numFmtId="0" fontId="24" fillId="0" borderId="0" xfId="83" applyFont="1" applyBorder="1" applyAlignment="1">
      <alignment horizontal="center" vertical="center" wrapText="1"/>
    </xf>
    <xf numFmtId="3" fontId="24" fillId="0" borderId="0" xfId="77" applyNumberFormat="1" applyFont="1" applyBorder="1"/>
    <xf numFmtId="3" fontId="21" fillId="0" borderId="0" xfId="71" applyNumberFormat="1" applyFont="1"/>
    <xf numFmtId="0" fontId="24" fillId="0" borderId="0" xfId="80" applyFont="1" applyFill="1" applyAlignment="1">
      <alignment horizontal="center" vertical="center" wrapText="1"/>
    </xf>
    <xf numFmtId="3" fontId="24" fillId="0" borderId="14" xfId="82" applyNumberFormat="1" applyFont="1" applyFill="1" applyBorder="1" applyAlignment="1">
      <alignment horizontal="right" vertical="center" wrapText="1"/>
    </xf>
    <xf numFmtId="3" fontId="21" fillId="0" borderId="0" xfId="83" applyNumberFormat="1" applyFont="1" applyFill="1" applyBorder="1" applyAlignment="1">
      <alignment horizontal="right" vertical="center" wrapText="1"/>
    </xf>
    <xf numFmtId="3" fontId="21" fillId="0" borderId="0" xfId="72" applyNumberFormat="1" applyFont="1" applyFill="1" applyBorder="1"/>
    <xf numFmtId="0" fontId="24" fillId="0" borderId="0" xfId="83" applyFont="1" applyFill="1" applyBorder="1" applyAlignment="1">
      <alignment horizontal="center" vertical="center" wrapText="1"/>
    </xf>
    <xf numFmtId="166" fontId="24" fillId="0" borderId="0" xfId="53" applyNumberFormat="1" applyFont="1" applyFill="1" applyAlignment="1">
      <alignment horizontal="center" vertical="center" wrapText="1"/>
    </xf>
    <xf numFmtId="0" fontId="24" fillId="0" borderId="0" xfId="80" applyFont="1" applyFill="1" applyBorder="1" applyAlignment="1">
      <alignment wrapText="1"/>
    </xf>
    <xf numFmtId="3" fontId="24" fillId="0" borderId="0" xfId="80" applyNumberFormat="1" applyFont="1" applyFill="1" applyBorder="1"/>
    <xf numFmtId="0" fontId="21" fillId="0" borderId="0" xfId="80" applyFont="1" applyFill="1" applyAlignment="1">
      <alignment wrapText="1"/>
    </xf>
    <xf numFmtId="0" fontId="21" fillId="0" borderId="0" xfId="80" applyFont="1" applyFill="1"/>
    <xf numFmtId="166" fontId="21" fillId="0" borderId="0" xfId="53" applyNumberFormat="1" applyFont="1" applyFill="1"/>
    <xf numFmtId="0" fontId="24" fillId="0" borderId="20" xfId="83" applyFont="1" applyBorder="1" applyAlignment="1">
      <alignment horizontal="center" vertical="center" wrapText="1"/>
    </xf>
    <xf numFmtId="3" fontId="21" fillId="0" borderId="14" xfId="0" applyNumberFormat="1" applyFont="1" applyFill="1" applyBorder="1"/>
    <xf numFmtId="0" fontId="21" fillId="0" borderId="18" xfId="0" applyFont="1" applyFill="1" applyBorder="1" applyAlignment="1">
      <alignment wrapText="1"/>
    </xf>
    <xf numFmtId="3" fontId="24" fillId="0" borderId="14" xfId="82" applyNumberFormat="1" applyFont="1" applyFill="1" applyBorder="1" applyAlignment="1">
      <alignment vertical="center" wrapText="1"/>
    </xf>
    <xf numFmtId="3" fontId="21" fillId="0" borderId="0" xfId="80" applyNumberFormat="1" applyFont="1" applyFill="1"/>
    <xf numFmtId="0" fontId="21" fillId="0" borderId="0" xfId="80" applyFont="1" applyFill="1" applyBorder="1" applyAlignment="1">
      <alignment wrapText="1"/>
    </xf>
    <xf numFmtId="0" fontId="21" fillId="0" borderId="0" xfId="80" applyFont="1" applyBorder="1" applyAlignment="1">
      <alignment wrapText="1"/>
    </xf>
    <xf numFmtId="0" fontId="21" fillId="0" borderId="0" xfId="72" applyFont="1" applyFill="1" applyBorder="1" applyAlignment="1">
      <alignment wrapText="1"/>
    </xf>
    <xf numFmtId="0" fontId="21" fillId="0" borderId="0" xfId="72" applyFont="1" applyFill="1" applyBorder="1" applyAlignment="1">
      <alignment horizontal="left" vertical="center" wrapText="1"/>
    </xf>
    <xf numFmtId="166" fontId="24" fillId="0" borderId="0" xfId="53" applyNumberFormat="1" applyFont="1" applyFill="1"/>
    <xf numFmtId="0" fontId="24" fillId="0" borderId="0" xfId="80" applyFont="1" applyFill="1"/>
    <xf numFmtId="0" fontId="21" fillId="0" borderId="28" xfId="80" applyFont="1" applyFill="1" applyBorder="1" applyAlignment="1">
      <alignment wrapText="1"/>
    </xf>
    <xf numFmtId="0" fontId="21" fillId="0" borderId="0" xfId="72" applyFont="1"/>
    <xf numFmtId="3" fontId="21" fillId="0" borderId="14" xfId="72" applyNumberFormat="1" applyFont="1" applyBorder="1"/>
    <xf numFmtId="3" fontId="24" fillId="0" borderId="14" xfId="72" applyNumberFormat="1" applyFont="1" applyBorder="1"/>
    <xf numFmtId="3" fontId="21" fillId="0" borderId="0" xfId="72" applyNumberFormat="1" applyFont="1"/>
    <xf numFmtId="3" fontId="21" fillId="30" borderId="14" xfId="72" applyNumberFormat="1" applyFont="1" applyFill="1" applyBorder="1"/>
    <xf numFmtId="3" fontId="21" fillId="0" borderId="14" xfId="72" applyNumberFormat="1" applyFont="1" applyFill="1" applyBorder="1"/>
    <xf numFmtId="0" fontId="21" fillId="0" borderId="0" xfId="72" applyFont="1" applyFill="1"/>
    <xf numFmtId="0" fontId="21" fillId="0" borderId="0" xfId="0" applyFont="1"/>
    <xf numFmtId="0" fontId="24" fillId="0" borderId="14" xfId="73" applyFont="1" applyFill="1" applyBorder="1"/>
    <xf numFmtId="3" fontId="24" fillId="0" borderId="14" xfId="73" applyNumberFormat="1" applyFont="1" applyFill="1" applyBorder="1"/>
    <xf numFmtId="3" fontId="24" fillId="29" borderId="14" xfId="73" applyNumberFormat="1" applyFont="1" applyFill="1" applyBorder="1"/>
    <xf numFmtId="4" fontId="24" fillId="0" borderId="14" xfId="73" applyNumberFormat="1" applyFont="1" applyFill="1" applyBorder="1"/>
    <xf numFmtId="4" fontId="21" fillId="0" borderId="14" xfId="73" applyNumberFormat="1" applyFont="1" applyFill="1" applyBorder="1"/>
    <xf numFmtId="3" fontId="21" fillId="29" borderId="14" xfId="73" applyNumberFormat="1" applyFont="1" applyFill="1" applyBorder="1"/>
    <xf numFmtId="0" fontId="21" fillId="0" borderId="14" xfId="73" applyFont="1" applyFill="1" applyBorder="1"/>
    <xf numFmtId="3" fontId="21" fillId="0" borderId="14" xfId="73" applyNumberFormat="1" applyFont="1" applyFill="1" applyBorder="1"/>
    <xf numFmtId="165" fontId="24" fillId="29" borderId="14" xfId="73" applyNumberFormat="1" applyFont="1" applyFill="1" applyBorder="1"/>
    <xf numFmtId="3" fontId="24" fillId="0" borderId="14" xfId="0" applyNumberFormat="1" applyFont="1" applyFill="1" applyBorder="1" applyAlignment="1">
      <alignment horizontal="right"/>
    </xf>
    <xf numFmtId="0" fontId="21" fillId="0" borderId="0" xfId="0" applyFont="1" applyFill="1"/>
    <xf numFmtId="2" fontId="24" fillId="0" borderId="14" xfId="73" applyNumberFormat="1" applyFont="1" applyFill="1" applyBorder="1"/>
    <xf numFmtId="1" fontId="21" fillId="0" borderId="14" xfId="73" applyNumberFormat="1" applyFont="1" applyFill="1" applyBorder="1"/>
    <xf numFmtId="0" fontId="24" fillId="0" borderId="14" xfId="73" applyFont="1" applyBorder="1"/>
    <xf numFmtId="0" fontId="24" fillId="0" borderId="0" xfId="0" applyFont="1"/>
    <xf numFmtId="3" fontId="21" fillId="0" borderId="0" xfId="0" applyNumberFormat="1" applyFont="1"/>
    <xf numFmtId="0" fontId="24" fillId="0" borderId="27" xfId="0" applyFont="1" applyFill="1" applyBorder="1" applyAlignment="1">
      <alignment wrapText="1"/>
    </xf>
    <xf numFmtId="0" fontId="24" fillId="0" borderId="18" xfId="0" applyFont="1" applyFill="1" applyBorder="1" applyAlignment="1">
      <alignment wrapText="1"/>
    </xf>
    <xf numFmtId="166" fontId="21" fillId="0" borderId="0" xfId="53" applyNumberFormat="1" applyFont="1" applyBorder="1"/>
    <xf numFmtId="0" fontId="21" fillId="0" borderId="0" xfId="83" applyFont="1" applyBorder="1"/>
    <xf numFmtId="3" fontId="21" fillId="0" borderId="0" xfId="83" applyNumberFormat="1" applyFont="1" applyBorder="1"/>
    <xf numFmtId="0" fontId="21" fillId="29" borderId="0" xfId="83" applyFont="1" applyFill="1" applyBorder="1"/>
    <xf numFmtId="0" fontId="24" fillId="29" borderId="0" xfId="83" applyFont="1" applyFill="1" applyBorder="1"/>
    <xf numFmtId="166" fontId="25" fillId="29" borderId="0" xfId="83" applyNumberFormat="1" applyFont="1" applyFill="1" applyBorder="1"/>
    <xf numFmtId="0" fontId="25" fillId="29" borderId="0" xfId="83" applyFont="1" applyFill="1" applyBorder="1"/>
    <xf numFmtId="0" fontId="25" fillId="0" borderId="0" xfId="83" applyFont="1" applyFill="1" applyBorder="1"/>
    <xf numFmtId="0" fontId="26" fillId="29" borderId="0" xfId="83" applyFont="1" applyFill="1" applyBorder="1"/>
    <xf numFmtId="0" fontId="24" fillId="29" borderId="0" xfId="83" applyFont="1" applyFill="1" applyBorder="1" applyAlignment="1">
      <alignment vertical="center"/>
    </xf>
    <xf numFmtId="0" fontId="21" fillId="29" borderId="0" xfId="83" applyFont="1" applyFill="1" applyBorder="1" applyAlignment="1">
      <alignment vertical="center" wrapText="1"/>
    </xf>
    <xf numFmtId="166" fontId="21" fillId="29" borderId="14" xfId="53" applyNumberFormat="1" applyFont="1" applyFill="1" applyBorder="1" applyAlignment="1">
      <alignment vertical="center"/>
    </xf>
    <xf numFmtId="0" fontId="21" fillId="29" borderId="0" xfId="83" applyFont="1" applyFill="1" applyBorder="1" applyAlignment="1">
      <alignment vertical="center"/>
    </xf>
    <xf numFmtId="3" fontId="24" fillId="29" borderId="0" xfId="83" applyNumberFormat="1" applyFont="1" applyFill="1" applyBorder="1" applyAlignment="1">
      <alignment vertical="center"/>
    </xf>
    <xf numFmtId="166" fontId="21" fillId="29" borderId="0" xfId="83" applyNumberFormat="1" applyFont="1" applyFill="1" applyBorder="1" applyAlignment="1">
      <alignment vertical="center"/>
    </xf>
    <xf numFmtId="166" fontId="24" fillId="29" borderId="0" xfId="83" applyNumberFormat="1" applyFont="1" applyFill="1" applyBorder="1" applyAlignment="1">
      <alignment vertical="center"/>
    </xf>
    <xf numFmtId="3" fontId="21" fillId="29" borderId="14" xfId="83" applyNumberFormat="1" applyFont="1" applyFill="1" applyBorder="1" applyAlignment="1">
      <alignment horizontal="right" wrapText="1"/>
    </xf>
    <xf numFmtId="0" fontId="21" fillId="0" borderId="24" xfId="83" applyFont="1" applyBorder="1"/>
    <xf numFmtId="3" fontId="21" fillId="29" borderId="24" xfId="83" applyNumberFormat="1" applyFont="1" applyFill="1" applyBorder="1" applyAlignment="1">
      <alignment horizontal="right" wrapText="1"/>
    </xf>
    <xf numFmtId="3" fontId="21" fillId="29" borderId="14" xfId="83" applyNumberFormat="1" applyFont="1" applyFill="1" applyBorder="1" applyAlignment="1">
      <alignment horizontal="right" vertical="center" wrapText="1"/>
    </xf>
    <xf numFmtId="0" fontId="24" fillId="0" borderId="0" xfId="83" applyFont="1" applyFill="1" applyBorder="1"/>
    <xf numFmtId="166" fontId="21" fillId="0" borderId="0" xfId="53" applyNumberFormat="1" applyFont="1"/>
    <xf numFmtId="0" fontId="24" fillId="0" borderId="31" xfId="83" applyFont="1" applyBorder="1" applyAlignment="1">
      <alignment horizontal="center" vertical="center" wrapText="1"/>
    </xf>
    <xf numFmtId="0" fontId="21" fillId="0" borderId="0" xfId="83" applyFont="1" applyAlignment="1">
      <alignment horizontal="center" vertical="center"/>
    </xf>
    <xf numFmtId="0" fontId="24" fillId="0" borderId="0" xfId="83" applyFont="1"/>
    <xf numFmtId="0" fontId="24" fillId="0" borderId="0" xfId="83" applyFont="1" applyBorder="1"/>
    <xf numFmtId="0" fontId="24" fillId="29" borderId="0" xfId="83" applyFont="1" applyFill="1"/>
    <xf numFmtId="166" fontId="24" fillId="0" borderId="0" xfId="53" applyNumberFormat="1" applyFont="1"/>
    <xf numFmtId="166" fontId="24" fillId="0" borderId="0" xfId="83" applyNumberFormat="1" applyFont="1"/>
    <xf numFmtId="0" fontId="21" fillId="0" borderId="0" xfId="83" applyFont="1" applyAlignment="1">
      <alignment wrapText="1"/>
    </xf>
    <xf numFmtId="0" fontId="21" fillId="0" borderId="23" xfId="83" applyFont="1" applyBorder="1" applyAlignment="1">
      <alignment horizontal="left" vertical="center" wrapText="1"/>
    </xf>
    <xf numFmtId="3" fontId="21" fillId="0" borderId="0" xfId="83" applyNumberFormat="1" applyFont="1"/>
    <xf numFmtId="3" fontId="21" fillId="0" borderId="26" xfId="0" applyNumberFormat="1" applyFont="1" applyFill="1" applyBorder="1"/>
    <xf numFmtId="0" fontId="21" fillId="0" borderId="0" xfId="72" applyFont="1" applyFill="1" applyBorder="1"/>
    <xf numFmtId="0" fontId="24" fillId="0" borderId="0" xfId="72" applyFont="1" applyBorder="1" applyAlignment="1">
      <alignment horizontal="center"/>
    </xf>
    <xf numFmtId="0" fontId="24" fillId="0" borderId="21" xfId="83" applyFont="1" applyBorder="1" applyAlignment="1">
      <alignment horizontal="center" vertical="center" wrapText="1"/>
    </xf>
    <xf numFmtId="0" fontId="21" fillId="0" borderId="0" xfId="72" applyFont="1" applyAlignment="1">
      <alignment wrapText="1"/>
    </xf>
    <xf numFmtId="0" fontId="21" fillId="0" borderId="0" xfId="72" applyFont="1" applyAlignment="1">
      <alignment horizontal="right" wrapText="1"/>
    </xf>
    <xf numFmtId="0" fontId="21" fillId="0" borderId="0" xfId="72" applyFont="1" applyAlignment="1">
      <alignment horizontal="right"/>
    </xf>
    <xf numFmtId="0" fontId="24" fillId="0" borderId="19" xfId="72" applyFont="1" applyBorder="1" applyAlignment="1">
      <alignment wrapText="1"/>
    </xf>
    <xf numFmtId="0" fontId="24" fillId="0" borderId="20" xfId="72" applyFont="1" applyBorder="1" applyAlignment="1">
      <alignment wrapText="1"/>
    </xf>
    <xf numFmtId="0" fontId="21" fillId="29" borderId="24" xfId="83" applyFont="1" applyFill="1" applyBorder="1" applyAlignment="1">
      <alignment wrapText="1"/>
    </xf>
    <xf numFmtId="3" fontId="21" fillId="0" borderId="24" xfId="72" applyNumberFormat="1" applyFont="1" applyBorder="1"/>
    <xf numFmtId="0" fontId="21" fillId="0" borderId="24" xfId="72" applyFont="1" applyBorder="1" applyAlignment="1">
      <alignment wrapText="1"/>
    </xf>
    <xf numFmtId="0" fontId="21" fillId="29" borderId="14" xfId="83" applyFont="1" applyFill="1" applyBorder="1" applyAlignment="1">
      <alignment wrapText="1"/>
    </xf>
    <xf numFmtId="0" fontId="21" fillId="0" borderId="14" xfId="72" applyFont="1" applyBorder="1" applyAlignment="1">
      <alignment wrapText="1"/>
    </xf>
    <xf numFmtId="3" fontId="21" fillId="0" borderId="14" xfId="72" applyNumberFormat="1" applyFont="1" applyBorder="1" applyAlignment="1">
      <alignment wrapText="1"/>
    </xf>
    <xf numFmtId="0" fontId="21" fillId="0" borderId="14" xfId="72" applyFont="1" applyBorder="1"/>
    <xf numFmtId="0" fontId="21" fillId="29" borderId="14" xfId="82" applyFont="1" applyFill="1" applyBorder="1" applyAlignment="1">
      <alignment wrapText="1"/>
    </xf>
    <xf numFmtId="164" fontId="21" fillId="0" borderId="14" xfId="72" applyNumberFormat="1" applyFont="1" applyBorder="1" applyAlignment="1">
      <alignment wrapText="1"/>
    </xf>
    <xf numFmtId="0" fontId="24" fillId="0" borderId="14" xfId="72" applyFont="1" applyBorder="1" applyAlignment="1">
      <alignment wrapText="1"/>
    </xf>
    <xf numFmtId="0" fontId="24" fillId="0" borderId="14" xfId="72" applyFont="1" applyBorder="1"/>
    <xf numFmtId="166" fontId="24" fillId="0" borderId="14" xfId="53" applyNumberFormat="1" applyFont="1" applyBorder="1"/>
    <xf numFmtId="0" fontId="24" fillId="0" borderId="0" xfId="72" applyFont="1"/>
    <xf numFmtId="166" fontId="24" fillId="0" borderId="14" xfId="53" applyNumberFormat="1" applyFont="1" applyBorder="1" applyAlignment="1">
      <alignment horizontal="right"/>
    </xf>
    <xf numFmtId="0" fontId="24" fillId="0" borderId="34" xfId="72" applyFont="1" applyBorder="1" applyAlignment="1">
      <alignment wrapText="1"/>
    </xf>
    <xf numFmtId="166" fontId="24" fillId="0" borderId="35" xfId="53" applyNumberFormat="1" applyFont="1" applyBorder="1"/>
    <xf numFmtId="166" fontId="21" fillId="0" borderId="14" xfId="53" applyNumberFormat="1" applyFont="1" applyBorder="1"/>
    <xf numFmtId="0" fontId="24" fillId="0" borderId="0" xfId="72" applyFont="1" applyBorder="1"/>
    <xf numFmtId="0" fontId="24" fillId="0" borderId="0" xfId="72" applyFont="1" applyBorder="1" applyAlignment="1">
      <alignment wrapText="1"/>
    </xf>
    <xf numFmtId="0" fontId="21" fillId="0" borderId="12" xfId="72" applyFont="1" applyBorder="1" applyAlignment="1">
      <alignment wrapText="1"/>
    </xf>
    <xf numFmtId="0" fontId="21" fillId="0" borderId="0" xfId="76" applyFont="1" applyAlignment="1">
      <alignment wrapText="1"/>
    </xf>
    <xf numFmtId="0" fontId="21" fillId="0" borderId="0" xfId="76" applyFont="1"/>
    <xf numFmtId="0" fontId="21" fillId="0" borderId="0" xfId="76" applyFont="1" applyAlignment="1">
      <alignment horizontal="right"/>
    </xf>
    <xf numFmtId="0" fontId="24" fillId="0" borderId="13" xfId="76" applyFont="1" applyBorder="1" applyAlignment="1">
      <alignment wrapText="1"/>
    </xf>
    <xf numFmtId="0" fontId="24" fillId="0" borderId="28" xfId="76" applyFont="1" applyBorder="1" applyAlignment="1">
      <alignment wrapText="1"/>
    </xf>
    <xf numFmtId="0" fontId="21" fillId="0" borderId="13" xfId="76" applyFont="1" applyBorder="1" applyAlignment="1">
      <alignment wrapText="1"/>
    </xf>
    <xf numFmtId="0" fontId="21" fillId="0" borderId="0" xfId="76" applyFont="1" applyBorder="1" applyAlignment="1">
      <alignment wrapText="1"/>
    </xf>
    <xf numFmtId="0" fontId="21" fillId="0" borderId="13" xfId="83" applyFont="1" applyBorder="1" applyAlignment="1">
      <alignment horizontal="left" wrapText="1"/>
    </xf>
    <xf numFmtId="0" fontId="21" fillId="0" borderId="37" xfId="74" applyFont="1" applyBorder="1" applyAlignment="1">
      <alignment wrapText="1"/>
    </xf>
    <xf numFmtId="0" fontId="21" fillId="0" borderId="13" xfId="74" applyFont="1" applyBorder="1" applyAlignment="1">
      <alignment wrapText="1"/>
    </xf>
    <xf numFmtId="0" fontId="21" fillId="0" borderId="38" xfId="74" applyFont="1" applyBorder="1" applyAlignment="1">
      <alignment wrapText="1"/>
    </xf>
    <xf numFmtId="0" fontId="21" fillId="0" borderId="32" xfId="74" applyFont="1" applyBorder="1" applyAlignment="1">
      <alignment wrapText="1"/>
    </xf>
    <xf numFmtId="3" fontId="21" fillId="0" borderId="13" xfId="76" applyNumberFormat="1" applyFont="1" applyBorder="1"/>
    <xf numFmtId="0" fontId="21" fillId="29" borderId="13" xfId="83" applyFont="1" applyFill="1" applyBorder="1" applyAlignment="1">
      <alignment wrapText="1"/>
    </xf>
    <xf numFmtId="3" fontId="21" fillId="0" borderId="37" xfId="76" applyNumberFormat="1" applyFont="1" applyBorder="1"/>
    <xf numFmtId="3" fontId="24" fillId="0" borderId="13" xfId="76" applyNumberFormat="1" applyFont="1" applyBorder="1"/>
    <xf numFmtId="0" fontId="24" fillId="0" borderId="0" xfId="76" applyFont="1"/>
    <xf numFmtId="0" fontId="24" fillId="0" borderId="32" xfId="76" applyFont="1" applyBorder="1" applyAlignment="1">
      <alignment wrapText="1"/>
    </xf>
    <xf numFmtId="0" fontId="24" fillId="0" borderId="0" xfId="76" applyFont="1" applyBorder="1"/>
    <xf numFmtId="0" fontId="24" fillId="0" borderId="37" xfId="76" applyFont="1" applyBorder="1"/>
    <xf numFmtId="0" fontId="21" fillId="0" borderId="0" xfId="76" applyFont="1" applyBorder="1"/>
    <xf numFmtId="3" fontId="21" fillId="0" borderId="0" xfId="76" applyNumberFormat="1" applyFont="1" applyBorder="1"/>
    <xf numFmtId="0" fontId="21" fillId="0" borderId="32" xfId="76" applyFont="1" applyBorder="1" applyAlignment="1">
      <alignment wrapText="1"/>
    </xf>
    <xf numFmtId="0" fontId="24" fillId="0" borderId="37" xfId="76" applyFont="1" applyBorder="1" applyAlignment="1">
      <alignment wrapText="1"/>
    </xf>
    <xf numFmtId="3" fontId="21" fillId="0" borderId="0" xfId="76" applyNumberFormat="1" applyFont="1"/>
    <xf numFmtId="0" fontId="24" fillId="0" borderId="0" xfId="76" applyFont="1" applyBorder="1" applyAlignment="1">
      <alignment wrapText="1"/>
    </xf>
    <xf numFmtId="3" fontId="24" fillId="0" borderId="0" xfId="76" applyNumberFormat="1" applyFont="1" applyBorder="1"/>
    <xf numFmtId="0" fontId="24" fillId="0" borderId="10" xfId="76" applyFont="1" applyBorder="1" applyAlignment="1">
      <alignment wrapText="1"/>
    </xf>
    <xf numFmtId="0" fontId="24" fillId="0" borderId="14" xfId="76" applyFont="1" applyBorder="1" applyAlignment="1">
      <alignment wrapText="1"/>
    </xf>
    <xf numFmtId="3" fontId="24" fillId="0" borderId="14" xfId="76" applyNumberFormat="1" applyFont="1" applyBorder="1"/>
    <xf numFmtId="0" fontId="21" fillId="0" borderId="15" xfId="74" applyFont="1" applyBorder="1" applyAlignment="1">
      <alignment wrapText="1"/>
    </xf>
    <xf numFmtId="3" fontId="21" fillId="0" borderId="15" xfId="76" applyNumberFormat="1" applyFont="1" applyBorder="1"/>
    <xf numFmtId="0" fontId="21" fillId="0" borderId="30" xfId="74" applyFont="1" applyBorder="1" applyAlignment="1">
      <alignment wrapText="1"/>
    </xf>
    <xf numFmtId="3" fontId="21" fillId="0" borderId="32" xfId="76" applyNumberFormat="1" applyFont="1" applyBorder="1"/>
    <xf numFmtId="0" fontId="21" fillId="0" borderId="14" xfId="74" applyFont="1" applyBorder="1" applyAlignment="1">
      <alignment wrapText="1"/>
    </xf>
    <xf numFmtId="3" fontId="21" fillId="0" borderId="14" xfId="76" applyNumberFormat="1" applyFont="1" applyBorder="1"/>
    <xf numFmtId="0" fontId="21" fillId="0" borderId="14" xfId="76" applyFont="1" applyBorder="1" applyAlignment="1">
      <alignment wrapText="1"/>
    </xf>
    <xf numFmtId="0" fontId="21" fillId="0" borderId="14" xfId="74" applyFont="1" applyFill="1" applyBorder="1" applyAlignment="1">
      <alignment wrapText="1"/>
    </xf>
    <xf numFmtId="3" fontId="21" fillId="0" borderId="14" xfId="76" applyNumberFormat="1" applyFont="1" applyBorder="1" applyAlignment="1">
      <alignment wrapText="1"/>
    </xf>
    <xf numFmtId="0" fontId="21" fillId="0" borderId="14" xfId="83" applyFont="1" applyBorder="1" applyAlignment="1">
      <alignment horizontal="left" wrapText="1"/>
    </xf>
    <xf numFmtId="3" fontId="21" fillId="29" borderId="14" xfId="84" applyNumberFormat="1" applyFont="1" applyFill="1" applyBorder="1" applyAlignment="1">
      <alignment horizontal="right" wrapText="1"/>
    </xf>
    <xf numFmtId="0" fontId="24" fillId="29" borderId="28" xfId="84" applyFont="1" applyFill="1" applyBorder="1" applyAlignment="1">
      <alignment horizontal="center" vertical="center" wrapText="1"/>
    </xf>
    <xf numFmtId="0" fontId="24" fillId="29" borderId="0" xfId="84" applyFont="1" applyFill="1" applyBorder="1" applyAlignment="1">
      <alignment horizontal="center" vertical="center" wrapText="1"/>
    </xf>
    <xf numFmtId="0" fontId="21" fillId="0" borderId="28" xfId="76" applyFont="1" applyBorder="1"/>
    <xf numFmtId="0" fontId="21" fillId="0" borderId="28" xfId="76" applyFont="1" applyBorder="1" applyAlignment="1">
      <alignment wrapText="1"/>
    </xf>
    <xf numFmtId="0" fontId="24" fillId="0" borderId="11" xfId="76" applyFont="1" applyBorder="1" applyAlignment="1">
      <alignment wrapText="1"/>
    </xf>
    <xf numFmtId="0" fontId="21" fillId="0" borderId="13" xfId="72" applyFont="1" applyBorder="1" applyAlignment="1">
      <alignment wrapText="1"/>
    </xf>
    <xf numFmtId="3" fontId="21" fillId="0" borderId="28" xfId="76" applyNumberFormat="1" applyFont="1" applyBorder="1"/>
    <xf numFmtId="3" fontId="24" fillId="0" borderId="14" xfId="76" applyNumberFormat="1" applyFont="1" applyBorder="1" applyAlignment="1">
      <alignment wrapText="1"/>
    </xf>
    <xf numFmtId="0" fontId="21" fillId="0" borderId="0" xfId="0" applyFont="1" applyFill="1" applyAlignment="1">
      <alignment wrapText="1"/>
    </xf>
    <xf numFmtId="0" fontId="28" fillId="0" borderId="0" xfId="0" applyFont="1"/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right"/>
    </xf>
    <xf numFmtId="0" fontId="21" fillId="0" borderId="39" xfId="0" applyFont="1" applyFill="1" applyBorder="1" applyAlignment="1">
      <alignment horizontal="center" wrapText="1"/>
    </xf>
    <xf numFmtId="0" fontId="21" fillId="0" borderId="40" xfId="0" applyFont="1" applyFill="1" applyBorder="1" applyAlignment="1">
      <alignment horizontal="center" wrapText="1"/>
    </xf>
    <xf numFmtId="0" fontId="21" fillId="0" borderId="41" xfId="0" applyFont="1" applyFill="1" applyBorder="1" applyAlignment="1">
      <alignment horizontal="center" wrapText="1"/>
    </xf>
    <xf numFmtId="3" fontId="24" fillId="0" borderId="19" xfId="0" applyNumberFormat="1" applyFont="1" applyFill="1" applyBorder="1" applyAlignment="1">
      <alignment horizontal="left" wrapText="1"/>
    </xf>
    <xf numFmtId="3" fontId="24" fillId="0" borderId="20" xfId="0" applyNumberFormat="1" applyFont="1" applyFill="1" applyBorder="1" applyAlignment="1">
      <alignment horizontal="right" wrapText="1"/>
    </xf>
    <xf numFmtId="3" fontId="28" fillId="0" borderId="0" xfId="0" applyNumberFormat="1" applyFont="1"/>
    <xf numFmtId="3" fontId="21" fillId="0" borderId="17" xfId="0" applyNumberFormat="1" applyFont="1" applyFill="1" applyBorder="1" applyAlignment="1">
      <alignment horizontal="left" wrapText="1"/>
    </xf>
    <xf numFmtId="3" fontId="24" fillId="0" borderId="22" xfId="0" applyNumberFormat="1" applyFont="1" applyFill="1" applyBorder="1" applyAlignment="1">
      <alignment horizontal="right" wrapText="1"/>
    </xf>
    <xf numFmtId="3" fontId="24" fillId="0" borderId="41" xfId="0" applyNumberFormat="1" applyFont="1" applyFill="1" applyBorder="1" applyAlignment="1">
      <alignment horizontal="right" wrapText="1"/>
    </xf>
    <xf numFmtId="0" fontId="21" fillId="0" borderId="23" xfId="0" applyFont="1" applyFill="1" applyBorder="1" applyAlignment="1">
      <alignment wrapText="1"/>
    </xf>
    <xf numFmtId="3" fontId="21" fillId="0" borderId="24" xfId="0" applyNumberFormat="1" applyFont="1" applyFill="1" applyBorder="1"/>
    <xf numFmtId="3" fontId="24" fillId="0" borderId="14" xfId="0" applyNumberFormat="1" applyFont="1" applyFill="1" applyBorder="1" applyAlignment="1">
      <alignment horizontal="right" wrapText="1"/>
    </xf>
    <xf numFmtId="3" fontId="21" fillId="0" borderId="33" xfId="0" applyNumberFormat="1" applyFont="1" applyFill="1" applyBorder="1"/>
    <xf numFmtId="0" fontId="25" fillId="0" borderId="18" xfId="0" applyFont="1" applyFill="1" applyBorder="1" applyAlignment="1">
      <alignment wrapText="1"/>
    </xf>
    <xf numFmtId="3" fontId="25" fillId="0" borderId="14" xfId="0" applyNumberFormat="1" applyFont="1" applyFill="1" applyBorder="1"/>
    <xf numFmtId="3" fontId="24" fillId="0" borderId="14" xfId="0" applyNumberFormat="1" applyFont="1" applyFill="1" applyBorder="1"/>
    <xf numFmtId="3" fontId="24" fillId="0" borderId="33" xfId="0" applyNumberFormat="1" applyFont="1" applyFill="1" applyBorder="1"/>
    <xf numFmtId="3" fontId="24" fillId="0" borderId="25" xfId="0" applyNumberFormat="1" applyFont="1" applyFill="1" applyBorder="1" applyAlignment="1">
      <alignment horizontal="right" wrapText="1"/>
    </xf>
    <xf numFmtId="3" fontId="24" fillId="0" borderId="26" xfId="0" applyNumberFormat="1" applyFont="1" applyFill="1" applyBorder="1" applyAlignment="1">
      <alignment horizontal="right"/>
    </xf>
    <xf numFmtId="3" fontId="21" fillId="0" borderId="42" xfId="0" applyNumberFormat="1" applyFont="1" applyFill="1" applyBorder="1"/>
    <xf numFmtId="3" fontId="24" fillId="0" borderId="16" xfId="0" applyNumberFormat="1" applyFont="1" applyFill="1" applyBorder="1"/>
    <xf numFmtId="0" fontId="24" fillId="0" borderId="36" xfId="0" applyFont="1" applyFill="1" applyBorder="1" applyAlignment="1">
      <alignment wrapText="1"/>
    </xf>
    <xf numFmtId="3" fontId="24" fillId="0" borderId="29" xfId="0" applyNumberFormat="1" applyFont="1" applyFill="1" applyBorder="1"/>
    <xf numFmtId="0" fontId="24" fillId="0" borderId="19" xfId="0" applyFont="1" applyFill="1" applyBorder="1" applyAlignment="1">
      <alignment wrapText="1"/>
    </xf>
    <xf numFmtId="3" fontId="24" fillId="0" borderId="20" xfId="0" applyNumberFormat="1" applyFont="1" applyFill="1" applyBorder="1"/>
    <xf numFmtId="0" fontId="28" fillId="0" borderId="0" xfId="0" applyFont="1" applyAlignment="1">
      <alignment wrapText="1"/>
    </xf>
    <xf numFmtId="3" fontId="21" fillId="0" borderId="14" xfId="83" applyNumberFormat="1" applyFont="1" applyFill="1" applyBorder="1" applyAlignment="1">
      <alignment vertical="center"/>
    </xf>
    <xf numFmtId="3" fontId="21" fillId="29" borderId="14" xfId="83" applyNumberFormat="1" applyFont="1" applyFill="1" applyBorder="1" applyAlignment="1">
      <alignment vertical="center"/>
    </xf>
    <xf numFmtId="3" fontId="24" fillId="30" borderId="14" xfId="73" applyNumberFormat="1" applyFont="1" applyFill="1" applyBorder="1"/>
    <xf numFmtId="0" fontId="21" fillId="0" borderId="14" xfId="82" applyFont="1" applyFill="1" applyBorder="1" applyAlignment="1">
      <alignment wrapText="1"/>
    </xf>
    <xf numFmtId="3" fontId="24" fillId="0" borderId="0" xfId="71" applyNumberFormat="1" applyFont="1"/>
    <xf numFmtId="0" fontId="24" fillId="0" borderId="0" xfId="72" applyFont="1" applyBorder="1" applyAlignment="1">
      <alignment horizontal="center"/>
    </xf>
    <xf numFmtId="166" fontId="24" fillId="0" borderId="14" xfId="53" applyNumberFormat="1" applyFont="1" applyBorder="1" applyAlignment="1">
      <alignment wrapText="1"/>
    </xf>
    <xf numFmtId="3" fontId="24" fillId="29" borderId="14" xfId="83" applyNumberFormat="1" applyFont="1" applyFill="1" applyBorder="1" applyAlignment="1">
      <alignment horizontal="right" vertical="center" wrapText="1"/>
    </xf>
    <xf numFmtId="166" fontId="21" fillId="0" borderId="14" xfId="72" applyNumberFormat="1" applyFont="1" applyBorder="1"/>
    <xf numFmtId="166" fontId="24" fillId="0" borderId="14" xfId="53" applyNumberFormat="1" applyFont="1" applyBorder="1" applyAlignment="1">
      <alignment horizontal="center" vertical="center" wrapText="1"/>
    </xf>
    <xf numFmtId="0" fontId="24" fillId="29" borderId="14" xfId="83" applyFont="1" applyFill="1" applyBorder="1" applyAlignment="1">
      <alignment wrapText="1"/>
    </xf>
    <xf numFmtId="3" fontId="21" fillId="0" borderId="14" xfId="83" applyNumberFormat="1" applyFont="1" applyBorder="1" applyAlignment="1">
      <alignment vertical="center"/>
    </xf>
    <xf numFmtId="0" fontId="21" fillId="0" borderId="14" xfId="83" applyFont="1" applyBorder="1" applyAlignment="1">
      <alignment horizontal="left" vertical="center" wrapText="1"/>
    </xf>
    <xf numFmtId="0" fontId="21" fillId="29" borderId="14" xfId="82" applyFont="1" applyFill="1" applyBorder="1" applyAlignment="1">
      <alignment vertical="center" wrapText="1"/>
    </xf>
    <xf numFmtId="0" fontId="24" fillId="0" borderId="14" xfId="83" applyFont="1" applyBorder="1" applyAlignment="1">
      <alignment horizontal="left" vertical="center" wrapText="1"/>
    </xf>
    <xf numFmtId="3" fontId="24" fillId="0" borderId="14" xfId="83" applyNumberFormat="1" applyFont="1" applyBorder="1" applyAlignment="1">
      <alignment vertical="center"/>
    </xf>
    <xf numFmtId="0" fontId="21" fillId="0" borderId="14" xfId="82" applyFont="1" applyBorder="1" applyAlignment="1">
      <alignment horizontal="left" vertical="center" wrapText="1"/>
    </xf>
    <xf numFmtId="166" fontId="24" fillId="0" borderId="14" xfId="53" applyNumberFormat="1" applyFont="1" applyBorder="1" applyAlignment="1">
      <alignment vertical="center"/>
    </xf>
    <xf numFmtId="3" fontId="27" fillId="0" borderId="14" xfId="83" applyNumberFormat="1" applyFont="1" applyFill="1" applyBorder="1" applyAlignment="1">
      <alignment vertical="center"/>
    </xf>
    <xf numFmtId="3" fontId="24" fillId="0" borderId="14" xfId="83" applyNumberFormat="1" applyFont="1" applyBorder="1" applyAlignment="1">
      <alignment horizontal="right" vertical="center" wrapText="1"/>
    </xf>
    <xf numFmtId="0" fontId="24" fillId="29" borderId="14" xfId="83" applyFont="1" applyFill="1" applyBorder="1" applyAlignment="1">
      <alignment horizontal="left" vertical="center" wrapText="1"/>
    </xf>
    <xf numFmtId="166" fontId="21" fillId="0" borderId="14" xfId="53" applyNumberFormat="1" applyFont="1" applyBorder="1" applyAlignment="1">
      <alignment vertical="center"/>
    </xf>
    <xf numFmtId="3" fontId="24" fillId="0" borderId="26" xfId="0" applyNumberFormat="1" applyFont="1" applyFill="1" applyBorder="1"/>
    <xf numFmtId="3" fontId="24" fillId="29" borderId="14" xfId="73" applyNumberFormat="1" applyFont="1" applyFill="1" applyBorder="1" applyAlignment="1">
      <alignment horizontal="right"/>
    </xf>
    <xf numFmtId="0" fontId="21" fillId="0" borderId="14" xfId="0" applyFont="1" applyBorder="1"/>
    <xf numFmtId="3" fontId="24" fillId="0" borderId="14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3" fontId="21" fillId="29" borderId="14" xfId="73" applyNumberFormat="1" applyFont="1" applyFill="1" applyBorder="1" applyAlignment="1">
      <alignment horizontal="right"/>
    </xf>
    <xf numFmtId="0" fontId="24" fillId="0" borderId="14" xfId="75" applyFont="1" applyFill="1" applyBorder="1"/>
    <xf numFmtId="0" fontId="21" fillId="0" borderId="14" xfId="75" applyFont="1" applyFill="1" applyBorder="1"/>
    <xf numFmtId="3" fontId="21" fillId="0" borderId="14" xfId="73" applyNumberFormat="1" applyFont="1" applyBorder="1"/>
    <xf numFmtId="0" fontId="24" fillId="0" borderId="14" xfId="0" applyFont="1" applyBorder="1"/>
    <xf numFmtId="3" fontId="24" fillId="0" borderId="14" xfId="73" applyNumberFormat="1" applyFont="1" applyBorder="1"/>
    <xf numFmtId="3" fontId="21" fillId="0" borderId="14" xfId="0" applyNumberFormat="1" applyFont="1" applyBorder="1"/>
    <xf numFmtId="0" fontId="24" fillId="30" borderId="14" xfId="0" applyFont="1" applyFill="1" applyBorder="1" applyAlignment="1">
      <alignment wrapText="1"/>
    </xf>
    <xf numFmtId="3" fontId="24" fillId="30" borderId="14" xfId="0" applyNumberFormat="1" applyFont="1" applyFill="1" applyBorder="1"/>
    <xf numFmtId="0" fontId="21" fillId="0" borderId="14" xfId="0" applyFont="1" applyFill="1" applyBorder="1"/>
    <xf numFmtId="0" fontId="24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166" fontId="21" fillId="0" borderId="14" xfId="53" applyNumberFormat="1" applyFont="1" applyFill="1" applyBorder="1"/>
    <xf numFmtId="0" fontId="21" fillId="0" borderId="14" xfId="73" applyFont="1" applyBorder="1"/>
    <xf numFmtId="0" fontId="24" fillId="29" borderId="14" xfId="83" applyFont="1" applyFill="1" applyBorder="1" applyAlignment="1">
      <alignment horizontal="center" vertical="center" wrapText="1"/>
    </xf>
    <xf numFmtId="3" fontId="21" fillId="0" borderId="14" xfId="83" applyNumberFormat="1" applyFont="1" applyBorder="1" applyAlignment="1">
      <alignment horizontal="right" vertical="center" wrapText="1"/>
    </xf>
    <xf numFmtId="3" fontId="21" fillId="31" borderId="14" xfId="83" applyNumberFormat="1" applyFont="1" applyFill="1" applyBorder="1" applyAlignment="1">
      <alignment vertical="center"/>
    </xf>
    <xf numFmtId="3" fontId="24" fillId="0" borderId="14" xfId="0" applyNumberFormat="1" applyFont="1" applyBorder="1"/>
    <xf numFmtId="3" fontId="24" fillId="0" borderId="14" xfId="83" applyNumberFormat="1" applyFont="1" applyBorder="1" applyAlignment="1">
      <alignment horizontal="center" vertical="center" wrapText="1"/>
    </xf>
    <xf numFmtId="164" fontId="21" fillId="0" borderId="14" xfId="82" applyNumberFormat="1" applyFont="1" applyFill="1" applyBorder="1" applyAlignment="1">
      <alignment wrapText="1"/>
    </xf>
    <xf numFmtId="164" fontId="21" fillId="29" borderId="14" xfId="82" applyNumberFormat="1" applyFont="1" applyFill="1" applyBorder="1" applyAlignment="1">
      <alignment wrapText="1"/>
    </xf>
    <xf numFmtId="166" fontId="24" fillId="29" borderId="14" xfId="53" applyNumberFormat="1" applyFont="1" applyFill="1" applyBorder="1" applyAlignment="1">
      <alignment vertical="center"/>
    </xf>
    <xf numFmtId="166" fontId="26" fillId="29" borderId="14" xfId="53" applyNumberFormat="1" applyFont="1" applyFill="1" applyBorder="1" applyAlignment="1">
      <alignment vertical="center"/>
    </xf>
    <xf numFmtId="166" fontId="24" fillId="29" borderId="14" xfId="53" applyNumberFormat="1" applyFont="1" applyFill="1" applyBorder="1"/>
    <xf numFmtId="0" fontId="24" fillId="29" borderId="14" xfId="83" applyFont="1" applyFill="1" applyBorder="1"/>
    <xf numFmtId="0" fontId="21" fillId="29" borderId="14" xfId="83" applyFont="1" applyFill="1" applyBorder="1" applyAlignment="1">
      <alignment horizontal="left" wrapText="1"/>
    </xf>
    <xf numFmtId="3" fontId="21" fillId="29" borderId="14" xfId="83" applyNumberFormat="1" applyFont="1" applyFill="1" applyBorder="1"/>
    <xf numFmtId="0" fontId="24" fillId="29" borderId="14" xfId="83" applyFont="1" applyFill="1" applyBorder="1" applyAlignment="1">
      <alignment vertical="center" wrapText="1"/>
    </xf>
    <xf numFmtId="166" fontId="21" fillId="29" borderId="14" xfId="53" applyNumberFormat="1" applyFont="1" applyFill="1" applyBorder="1" applyAlignment="1">
      <alignment vertical="center" wrapText="1"/>
    </xf>
    <xf numFmtId="164" fontId="21" fillId="29" borderId="14" xfId="83" applyNumberFormat="1" applyFont="1" applyFill="1" applyBorder="1" applyAlignment="1">
      <alignment wrapText="1"/>
    </xf>
    <xf numFmtId="0" fontId="21" fillId="29" borderId="14" xfId="82" applyFont="1" applyFill="1" applyBorder="1" applyAlignment="1">
      <alignment horizontal="left" wrapText="1"/>
    </xf>
    <xf numFmtId="0" fontId="24" fillId="29" borderId="14" xfId="82" applyFont="1" applyFill="1" applyBorder="1" applyAlignment="1">
      <alignment vertical="center" wrapText="1"/>
    </xf>
    <xf numFmtId="166" fontId="24" fillId="29" borderId="14" xfId="53" applyNumberFormat="1" applyFont="1" applyFill="1" applyBorder="1" applyAlignment="1">
      <alignment horizontal="right" vertical="center" wrapText="1"/>
    </xf>
    <xf numFmtId="0" fontId="21" fillId="29" borderId="14" xfId="83" applyFont="1" applyFill="1" applyBorder="1" applyAlignment="1">
      <alignment vertical="center" wrapText="1"/>
    </xf>
    <xf numFmtId="3" fontId="24" fillId="0" borderId="14" xfId="69" applyNumberFormat="1" applyFont="1" applyBorder="1" applyAlignment="1">
      <alignment wrapText="1"/>
    </xf>
    <xf numFmtId="3" fontId="21" fillId="0" borderId="14" xfId="69" applyNumberFormat="1" applyFont="1" applyBorder="1" applyAlignment="1">
      <alignment wrapText="1"/>
    </xf>
    <xf numFmtId="3" fontId="24" fillId="0" borderId="14" xfId="69" applyNumberFormat="1" applyFont="1" applyFill="1" applyBorder="1"/>
    <xf numFmtId="0" fontId="24" fillId="0" borderId="14" xfId="83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3" fontId="24" fillId="0" borderId="14" xfId="69" applyNumberFormat="1" applyFont="1" applyBorder="1" applyAlignment="1"/>
    <xf numFmtId="0" fontId="24" fillId="0" borderId="14" xfId="71" applyFont="1" applyBorder="1"/>
    <xf numFmtId="3" fontId="24" fillId="0" borderId="14" xfId="69" applyNumberFormat="1" applyFont="1" applyFill="1" applyBorder="1" applyAlignment="1"/>
    <xf numFmtId="0" fontId="21" fillId="0" borderId="14" xfId="71" applyFont="1" applyBorder="1"/>
    <xf numFmtId="3" fontId="24" fillId="0" borderId="14" xfId="70" applyNumberFormat="1" applyFont="1" applyBorder="1" applyAlignment="1">
      <alignment wrapText="1"/>
    </xf>
    <xf numFmtId="3" fontId="21" fillId="0" borderId="14" xfId="7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wrapText="1"/>
    </xf>
    <xf numFmtId="3" fontId="21" fillId="31" borderId="14" xfId="0" applyNumberFormat="1" applyFont="1" applyFill="1" applyBorder="1"/>
    <xf numFmtId="166" fontId="24" fillId="0" borderId="14" xfId="53" applyNumberFormat="1" applyFont="1" applyFill="1" applyBorder="1" applyAlignment="1">
      <alignment horizontal="center" vertical="center" wrapText="1"/>
    </xf>
    <xf numFmtId="0" fontId="24" fillId="0" borderId="14" xfId="79" applyFont="1" applyFill="1" applyBorder="1" applyAlignment="1">
      <alignment horizontal="left" vertical="center" wrapText="1"/>
    </xf>
    <xf numFmtId="0" fontId="21" fillId="0" borderId="14" xfId="79" applyFont="1" applyFill="1" applyBorder="1" applyAlignment="1">
      <alignment wrapText="1"/>
    </xf>
    <xf numFmtId="0" fontId="21" fillId="0" borderId="14" xfId="79" applyFont="1" applyBorder="1" applyAlignment="1">
      <alignment wrapText="1"/>
    </xf>
    <xf numFmtId="0" fontId="21" fillId="31" borderId="14" xfId="79" applyFont="1" applyFill="1" applyBorder="1"/>
    <xf numFmtId="0" fontId="21" fillId="0" borderId="14" xfId="79" applyFont="1" applyFill="1" applyBorder="1"/>
    <xf numFmtId="0" fontId="21" fillId="0" borderId="14" xfId="72" applyFont="1" applyFill="1" applyBorder="1" applyAlignment="1">
      <alignment wrapText="1"/>
    </xf>
    <xf numFmtId="166" fontId="24" fillId="0" borderId="14" xfId="53" applyNumberFormat="1" applyFont="1" applyBorder="1" applyAlignment="1"/>
    <xf numFmtId="0" fontId="24" fillId="0" borderId="14" xfId="82" applyFont="1" applyFill="1" applyBorder="1" applyAlignment="1">
      <alignment horizontal="left" vertical="center" wrapText="1" indent="1"/>
    </xf>
    <xf numFmtId="0" fontId="24" fillId="0" borderId="14" xfId="82" applyFont="1" applyFill="1" applyBorder="1" applyAlignment="1">
      <alignment horizontal="left" vertical="center" wrapText="1" indent="2"/>
    </xf>
    <xf numFmtId="0" fontId="21" fillId="0" borderId="14" xfId="82" applyFont="1" applyFill="1" applyBorder="1" applyAlignment="1">
      <alignment horizontal="left" vertical="center" wrapText="1" indent="2"/>
    </xf>
    <xf numFmtId="0" fontId="21" fillId="0" borderId="14" xfId="0" applyFont="1" applyBorder="1" applyAlignment="1">
      <alignment horizontal="left" wrapText="1" indent="5"/>
    </xf>
    <xf numFmtId="0" fontId="21" fillId="0" borderId="14" xfId="0" applyFont="1" applyFill="1" applyBorder="1" applyAlignment="1">
      <alignment horizontal="left" wrapText="1" indent="5"/>
    </xf>
    <xf numFmtId="0" fontId="21" fillId="0" borderId="14" xfId="82" applyFont="1" applyFill="1" applyBorder="1" applyAlignment="1">
      <alignment horizontal="left" vertical="center" wrapText="1" indent="1"/>
    </xf>
    <xf numFmtId="3" fontId="21" fillId="31" borderId="14" xfId="72" applyNumberFormat="1" applyFont="1" applyFill="1" applyBorder="1"/>
    <xf numFmtId="0" fontId="24" fillId="0" borderId="0" xfId="72" applyFont="1" applyBorder="1" applyAlignment="1">
      <alignment horizontal="center"/>
    </xf>
    <xf numFmtId="0" fontId="24" fillId="0" borderId="0" xfId="72" applyFont="1" applyBorder="1" applyAlignment="1">
      <alignment horizontal="center"/>
    </xf>
    <xf numFmtId="0" fontId="24" fillId="0" borderId="0" xfId="83" applyFont="1" applyAlignment="1">
      <alignment horizontal="center" vertical="center" wrapText="1"/>
    </xf>
    <xf numFmtId="0" fontId="24" fillId="29" borderId="14" xfId="8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29" borderId="14" xfId="73" applyFont="1" applyFill="1" applyBorder="1" applyAlignment="1">
      <alignment horizontal="center" vertical="center" wrapText="1"/>
    </xf>
    <xf numFmtId="0" fontId="24" fillId="0" borderId="14" xfId="73" applyFont="1" applyFill="1" applyBorder="1" applyAlignment="1">
      <alignment horizontal="center" vertical="center"/>
    </xf>
    <xf numFmtId="0" fontId="24" fillId="0" borderId="14" xfId="73" applyFont="1" applyBorder="1" applyAlignment="1">
      <alignment horizontal="center" vertical="center"/>
    </xf>
    <xf numFmtId="0" fontId="24" fillId="29" borderId="14" xfId="73" applyFont="1" applyFill="1" applyBorder="1" applyAlignment="1">
      <alignment horizontal="center" vertical="center"/>
    </xf>
    <xf numFmtId="0" fontId="24" fillId="0" borderId="46" xfId="72" applyFont="1" applyBorder="1" applyAlignment="1">
      <alignment horizontal="center" vertical="center" wrapText="1"/>
    </xf>
    <xf numFmtId="0" fontId="24" fillId="0" borderId="45" xfId="72" applyFont="1" applyBorder="1" applyAlignment="1">
      <alignment horizontal="center" vertical="center" wrapText="1"/>
    </xf>
    <xf numFmtId="0" fontId="24" fillId="0" borderId="43" xfId="72" applyFont="1" applyBorder="1" applyAlignment="1">
      <alignment horizontal="center" vertical="center" wrapText="1"/>
    </xf>
    <xf numFmtId="0" fontId="24" fillId="0" borderId="47" xfId="72" applyFont="1" applyBorder="1" applyAlignment="1">
      <alignment horizontal="center" vertical="center" wrapText="1"/>
    </xf>
    <xf numFmtId="0" fontId="24" fillId="0" borderId="48" xfId="72" applyFont="1" applyBorder="1" applyAlignment="1">
      <alignment horizontal="center" vertical="center" wrapText="1"/>
    </xf>
    <xf numFmtId="0" fontId="24" fillId="0" borderId="44" xfId="72" applyFont="1" applyBorder="1" applyAlignment="1">
      <alignment horizontal="center" vertical="center" wrapText="1"/>
    </xf>
    <xf numFmtId="0" fontId="24" fillId="0" borderId="0" xfId="79" applyFont="1" applyFill="1" applyAlignment="1">
      <alignment horizontal="center" vertical="center" wrapText="1"/>
    </xf>
    <xf numFmtId="3" fontId="24" fillId="0" borderId="0" xfId="70" applyNumberFormat="1" applyFont="1" applyAlignment="1">
      <alignment horizontal="center" vertical="center" wrapText="1"/>
    </xf>
    <xf numFmtId="0" fontId="25" fillId="0" borderId="14" xfId="0" applyFont="1" applyFill="1" applyBorder="1" applyAlignment="1">
      <alignment horizontal="left" wrapText="1"/>
    </xf>
    <xf numFmtId="0" fontId="24" fillId="0" borderId="0" xfId="72" applyFont="1" applyBorder="1" applyAlignment="1">
      <alignment horizontal="center"/>
    </xf>
    <xf numFmtId="0" fontId="24" fillId="0" borderId="0" xfId="72" applyFont="1" applyBorder="1" applyAlignment="1">
      <alignment horizontal="center" vertical="center"/>
    </xf>
    <xf numFmtId="0" fontId="24" fillId="0" borderId="0" xfId="76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1" fillId="0" borderId="0" xfId="91" applyFont="1" applyBorder="1" applyAlignment="1">
      <alignment wrapText="1"/>
    </xf>
    <xf numFmtId="3" fontId="24" fillId="0" borderId="0" xfId="91" applyNumberFormat="1" applyFont="1" applyBorder="1" applyAlignment="1">
      <alignment horizontal="center"/>
    </xf>
    <xf numFmtId="3" fontId="24" fillId="0" borderId="0" xfId="91" applyNumberFormat="1" applyFont="1"/>
    <xf numFmtId="0" fontId="24" fillId="0" borderId="0" xfId="91" applyFont="1"/>
    <xf numFmtId="0" fontId="21" fillId="0" borderId="0" xfId="91" applyFont="1"/>
    <xf numFmtId="3" fontId="26" fillId="0" borderId="0" xfId="91" applyNumberFormat="1" applyFont="1" applyFill="1" applyAlignment="1">
      <alignment horizontal="center" wrapText="1"/>
    </xf>
    <xf numFmtId="0" fontId="21" fillId="0" borderId="0" xfId="91" applyFont="1" applyFill="1" applyAlignment="1">
      <alignment wrapText="1"/>
    </xf>
    <xf numFmtId="3" fontId="26" fillId="0" borderId="0" xfId="91" applyNumberFormat="1" applyFont="1" applyFill="1" applyAlignment="1"/>
    <xf numFmtId="0" fontId="26" fillId="0" borderId="0" xfId="91" applyFont="1" applyFill="1" applyBorder="1" applyAlignment="1"/>
    <xf numFmtId="0" fontId="26" fillId="0" borderId="37" xfId="91" applyFont="1" applyFill="1" applyBorder="1" applyAlignment="1"/>
    <xf numFmtId="0" fontId="29" fillId="0" borderId="49" xfId="91" applyFont="1" applyFill="1" applyBorder="1" applyAlignment="1">
      <alignment wrapText="1"/>
    </xf>
    <xf numFmtId="3" fontId="26" fillId="0" borderId="49" xfId="91" applyNumberFormat="1" applyFont="1" applyFill="1" applyBorder="1" applyAlignment="1">
      <alignment horizontal="right"/>
    </xf>
    <xf numFmtId="0" fontId="26" fillId="0" borderId="49" xfId="91" applyFont="1" applyFill="1" applyBorder="1" applyAlignment="1">
      <alignment horizontal="right"/>
    </xf>
    <xf numFmtId="0" fontId="21" fillId="0" borderId="49" xfId="91" applyFont="1" applyFill="1" applyBorder="1" applyAlignment="1">
      <alignment wrapText="1"/>
    </xf>
    <xf numFmtId="3" fontId="21" fillId="0" borderId="49" xfId="91" applyNumberFormat="1" applyFont="1" applyFill="1" applyBorder="1"/>
    <xf numFmtId="3" fontId="24" fillId="0" borderId="49" xfId="91" applyNumberFormat="1" applyFont="1" applyFill="1" applyBorder="1"/>
    <xf numFmtId="0" fontId="26" fillId="0" borderId="49" xfId="91" applyFont="1" applyFill="1" applyBorder="1" applyAlignment="1">
      <alignment wrapText="1"/>
    </xf>
    <xf numFmtId="3" fontId="26" fillId="0" borderId="49" xfId="91" applyNumberFormat="1" applyFont="1" applyFill="1" applyBorder="1"/>
    <xf numFmtId="0" fontId="21" fillId="0" borderId="38" xfId="91" applyFont="1" applyFill="1" applyBorder="1" applyAlignment="1">
      <alignment wrapText="1"/>
    </xf>
    <xf numFmtId="0" fontId="21" fillId="0" borderId="38" xfId="91" applyFont="1" applyFill="1" applyBorder="1" applyAlignment="1"/>
    <xf numFmtId="166" fontId="24" fillId="0" borderId="0" xfId="53" applyNumberFormat="1" applyFont="1" applyBorder="1" applyAlignment="1">
      <alignment horizontal="center"/>
    </xf>
    <xf numFmtId="0" fontId="26" fillId="32" borderId="0" xfId="91" applyFont="1" applyFill="1" applyAlignment="1">
      <alignment wrapText="1"/>
    </xf>
    <xf numFmtId="3" fontId="24" fillId="0" borderId="0" xfId="91" applyNumberFormat="1" applyFont="1" applyBorder="1" applyAlignment="1">
      <alignment vertical="center"/>
    </xf>
    <xf numFmtId="3" fontId="24" fillId="0" borderId="0" xfId="91" applyNumberFormat="1" applyFont="1" applyBorder="1" applyAlignment="1">
      <alignment horizontal="center" vertical="center" wrapText="1"/>
    </xf>
  </cellXfs>
  <cellStyles count="9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xplanatory Text" xfId="52"/>
    <cellStyle name="Ezres" xfId="53" builtinId="3"/>
    <cellStyle name="Ezres 2" xfId="54"/>
    <cellStyle name="Ezres 3" xfId="55"/>
    <cellStyle name="Figyelmeztetés" xfId="56" builtinId="11" customBuiltin="1"/>
    <cellStyle name="Good" xfId="57"/>
    <cellStyle name="Heading 1" xfId="58"/>
    <cellStyle name="Heading 2" xfId="59"/>
    <cellStyle name="Heading 3" xfId="60"/>
    <cellStyle name="Heading 4" xfId="61"/>
    <cellStyle name="Hivatkozott cella" xfId="62" builtinId="24" customBuiltin="1"/>
    <cellStyle name="Input" xfId="63"/>
    <cellStyle name="Jegyzet" xfId="64" builtinId="10" customBuiltin="1"/>
    <cellStyle name="Kimenet" xfId="65" builtinId="21" customBuiltin="1"/>
    <cellStyle name="Linked Cell" xfId="66"/>
    <cellStyle name="Neutral" xfId="67"/>
    <cellStyle name="Normál" xfId="0" builtinId="0"/>
    <cellStyle name="Normál 2" xfId="68"/>
    <cellStyle name="Normál_2007_Koncepció táblák" xfId="69"/>
    <cellStyle name="Normál_2007_Koncepció táblák_2013. évi költségvetés I." xfId="70"/>
    <cellStyle name="Normál_2012. évi költségvetés IV. módosítás" xfId="71"/>
    <cellStyle name="Normál_2013 évi költségvetéshez 2013.02.19._2014 évi költségvetés Tündi táblák" xfId="91"/>
    <cellStyle name="Normál_2013. évi költségvetés I." xfId="72"/>
    <cellStyle name="Normál_2013. évi költségvetés I._2013. évi költségvetés előirányzat nyilvántartás" xfId="73"/>
    <cellStyle name="Normál_2013. évi költségvetés I._2013. évi költségvetés II. forduló testületi előterjesztés" xfId="74"/>
    <cellStyle name="Normál_2013. évi költségvetés I._iNTÉZMÉNYI NORMATÍVA 2014" xfId="75"/>
    <cellStyle name="Normál_2013. évi költségvetés II. forduló testületi előterjesztés" xfId="76"/>
    <cellStyle name="Normál_2014. évi kv. 6. tábla_kitöltve_szűkített II.fordulóhoz 2" xfId="77"/>
    <cellStyle name="Normal_KARSZJ3" xfId="78"/>
    <cellStyle name="Normál_költségvetés10melléklet" xfId="79"/>
    <cellStyle name="Normál_költségvetés10melléklet_2013. évi költségvetés I." xfId="80"/>
    <cellStyle name="Normal_KTRSZJ" xfId="81"/>
    <cellStyle name="Normál_Másolat eredetijeKÖLTSÉGVETÉS2005új1" xfId="82"/>
    <cellStyle name="Normál_Másolat eredetijeKÖLTSÉGVETÉS2005új1_2013. évi költségvetés I." xfId="83"/>
    <cellStyle name="Normál_Másolat eredetijeKÖLTSÉGVETÉS2005új1_2013. évi költségvetés II. forduló testületi előterjesztés" xfId="84"/>
    <cellStyle name="Note" xfId="85"/>
    <cellStyle name="Output" xfId="86"/>
    <cellStyle name="Összesen" xfId="87" builtinId="25" customBuiltin="1"/>
    <cellStyle name="Title" xfId="88"/>
    <cellStyle name="Total" xfId="89"/>
    <cellStyle name="Warning Text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53"/>
  <sheetViews>
    <sheetView tabSelected="1" view="pageLayout" topLeftCell="A3" zoomScaleNormal="75" zoomScaleSheetLayoutView="89" workbookViewId="0">
      <selection activeCell="A4" sqref="A4:F4"/>
    </sheetView>
  </sheetViews>
  <sheetFormatPr defaultColWidth="9.140625" defaultRowHeight="15.75" x14ac:dyDescent="0.25"/>
  <cols>
    <col min="1" max="1" width="40.42578125" style="97" customWidth="1"/>
    <col min="2" max="2" width="15.140625" style="3" customWidth="1"/>
    <col min="3" max="4" width="14.85546875" style="89" customWidth="1"/>
    <col min="5" max="5" width="15.7109375" style="89" customWidth="1"/>
    <col min="6" max="6" width="16.140625" style="3" customWidth="1"/>
    <col min="7" max="7" width="9.140625" style="3"/>
    <col min="8" max="9" width="16.28515625" style="3" bestFit="1" customWidth="1"/>
    <col min="10" max="16384" width="9.140625" style="3"/>
  </cols>
  <sheetData>
    <row r="1" spans="1:6" hidden="1" x14ac:dyDescent="0.25">
      <c r="A1" s="2"/>
    </row>
    <row r="2" spans="1:6" hidden="1" x14ac:dyDescent="0.25">
      <c r="A2" s="2"/>
    </row>
    <row r="3" spans="1:6" x14ac:dyDescent="0.25">
      <c r="A3" s="2"/>
    </row>
    <row r="4" spans="1:6" ht="30.75" customHeight="1" x14ac:dyDescent="0.25">
      <c r="A4" s="299" t="s">
        <v>333</v>
      </c>
      <c r="B4" s="299"/>
      <c r="C4" s="299"/>
      <c r="D4" s="299"/>
      <c r="E4" s="299"/>
      <c r="F4" s="299"/>
    </row>
    <row r="5" spans="1:6" x14ac:dyDescent="0.25">
      <c r="A5" s="2"/>
    </row>
    <row r="6" spans="1:6" s="91" customFormat="1" ht="56.25" customHeight="1" x14ac:dyDescent="0.2">
      <c r="A6" s="4" t="s">
        <v>213</v>
      </c>
      <c r="B6" s="4" t="s">
        <v>375</v>
      </c>
      <c r="C6" s="217" t="s">
        <v>376</v>
      </c>
      <c r="D6" s="217" t="s">
        <v>392</v>
      </c>
      <c r="E6" s="217" t="s">
        <v>401</v>
      </c>
      <c r="F6" s="4" t="s">
        <v>377</v>
      </c>
    </row>
    <row r="7" spans="1:6" ht="31.5" x14ac:dyDescent="0.25">
      <c r="A7" s="218" t="s">
        <v>2</v>
      </c>
      <c r="B7" s="219">
        <f>'2.sz.tábla'!B5</f>
        <v>33655434</v>
      </c>
      <c r="C7" s="219">
        <f>'2.sz.tábla'!C5</f>
        <v>34003915</v>
      </c>
      <c r="D7" s="219">
        <f>'2.sz.tábla'!D5</f>
        <v>41947155</v>
      </c>
      <c r="E7" s="219">
        <f>'2.sz.tábla'!E5</f>
        <v>42710795</v>
      </c>
      <c r="F7" s="219">
        <f>E7-D7</f>
        <v>763640</v>
      </c>
    </row>
    <row r="8" spans="1:6" ht="31.5" x14ac:dyDescent="0.25">
      <c r="A8" s="220" t="s">
        <v>3</v>
      </c>
      <c r="B8" s="219">
        <f>'2.sz.tábla'!B21</f>
        <v>0</v>
      </c>
      <c r="C8" s="219">
        <f>'2.sz.tábla'!C21</f>
        <v>0</v>
      </c>
      <c r="D8" s="219">
        <f>'2.sz.tábla'!D21</f>
        <v>0</v>
      </c>
      <c r="E8" s="219">
        <f>'2.sz.tábla'!E21</f>
        <v>0</v>
      </c>
      <c r="F8" s="219">
        <f t="shared" ref="F8:F13" si="0">E8-D8</f>
        <v>0</v>
      </c>
    </row>
    <row r="9" spans="1:6" ht="18" customHeight="1" x14ac:dyDescent="0.25">
      <c r="A9" s="220" t="s">
        <v>4</v>
      </c>
      <c r="B9" s="219">
        <f>'2.sz.tábla'!B33</f>
        <v>20250000</v>
      </c>
      <c r="C9" s="219">
        <f>'2.sz.tábla'!C33</f>
        <v>20250000</v>
      </c>
      <c r="D9" s="219">
        <f>'2.sz.tábla'!D33</f>
        <v>20250000</v>
      </c>
      <c r="E9" s="219">
        <f>'2.sz.tábla'!E33</f>
        <v>20250000</v>
      </c>
      <c r="F9" s="219">
        <f t="shared" si="0"/>
        <v>0</v>
      </c>
    </row>
    <row r="10" spans="1:6" ht="18" customHeight="1" x14ac:dyDescent="0.25">
      <c r="A10" s="220" t="s">
        <v>5</v>
      </c>
      <c r="B10" s="219">
        <f>'2.sz.tábla'!B47</f>
        <v>7100000</v>
      </c>
      <c r="C10" s="219">
        <f>'2.sz.tábla'!C47</f>
        <v>7862520</v>
      </c>
      <c r="D10" s="219">
        <f>'2.sz.tábla'!D47</f>
        <v>7862520</v>
      </c>
      <c r="E10" s="219">
        <f>'2.sz.tábla'!E47</f>
        <v>7862520</v>
      </c>
      <c r="F10" s="219">
        <f t="shared" si="0"/>
        <v>0</v>
      </c>
    </row>
    <row r="11" spans="1:6" ht="18" customHeight="1" x14ac:dyDescent="0.25">
      <c r="A11" s="220" t="s">
        <v>6</v>
      </c>
      <c r="B11" s="219">
        <f>'2.sz.tábla'!B60</f>
        <v>0</v>
      </c>
      <c r="C11" s="219">
        <f>'2.sz.tábla'!C60</f>
        <v>177480</v>
      </c>
      <c r="D11" s="219">
        <f>'2.sz.tábla'!D60</f>
        <v>177480</v>
      </c>
      <c r="E11" s="219">
        <f>'2.sz.tábla'!E60</f>
        <v>177480</v>
      </c>
      <c r="F11" s="219">
        <f t="shared" si="0"/>
        <v>0</v>
      </c>
    </row>
    <row r="12" spans="1:6" ht="16.5" customHeight="1" x14ac:dyDescent="0.25">
      <c r="A12" s="221" t="s">
        <v>7</v>
      </c>
      <c r="B12" s="219">
        <f>'2.sz.tábla'!B66</f>
        <v>0</v>
      </c>
      <c r="C12" s="219">
        <f>'2.sz.tábla'!C66</f>
        <v>0</v>
      </c>
      <c r="D12" s="219">
        <f>'2.sz.tábla'!D66</f>
        <v>0</v>
      </c>
      <c r="E12" s="219">
        <f>'2.sz.tábla'!E66</f>
        <v>0</v>
      </c>
      <c r="F12" s="219">
        <f t="shared" si="0"/>
        <v>0</v>
      </c>
    </row>
    <row r="13" spans="1:6" ht="18" customHeight="1" x14ac:dyDescent="0.25">
      <c r="A13" s="221" t="s">
        <v>8</v>
      </c>
      <c r="B13" s="219">
        <f>'2.sz.tábla'!B72</f>
        <v>0</v>
      </c>
      <c r="C13" s="219">
        <v>0</v>
      </c>
      <c r="D13" s="219">
        <v>0</v>
      </c>
      <c r="E13" s="219">
        <v>0</v>
      </c>
      <c r="F13" s="219">
        <f t="shared" si="0"/>
        <v>0</v>
      </c>
    </row>
    <row r="14" spans="1:6" s="92" customFormat="1" ht="19.5" customHeight="1" x14ac:dyDescent="0.25">
      <c r="A14" s="222" t="s">
        <v>9</v>
      </c>
      <c r="B14" s="223">
        <f>SUM(B7:B13)</f>
        <v>61005434</v>
      </c>
      <c r="C14" s="223">
        <f>SUM(C7:C13)</f>
        <v>62293915</v>
      </c>
      <c r="D14" s="223">
        <f>SUM(D7:D13)</f>
        <v>70237155</v>
      </c>
      <c r="E14" s="223">
        <f>SUM(E7:E13)</f>
        <v>71000795</v>
      </c>
      <c r="F14" s="223">
        <f>E14-D14</f>
        <v>763640</v>
      </c>
    </row>
    <row r="15" spans="1:6" s="92" customFormat="1" ht="18.75" customHeight="1" x14ac:dyDescent="0.25">
      <c r="A15" s="224" t="s">
        <v>10</v>
      </c>
      <c r="B15" s="223"/>
      <c r="C15" s="225"/>
      <c r="D15" s="225"/>
      <c r="E15" s="225"/>
      <c r="F15" s="219"/>
    </row>
    <row r="16" spans="1:6" ht="31.5" x14ac:dyDescent="0.25">
      <c r="A16" s="220" t="s">
        <v>218</v>
      </c>
      <c r="B16" s="226">
        <f>'2.sz.tábla'!B79</f>
        <v>38541663</v>
      </c>
      <c r="C16" s="226">
        <f>'2.sz.tábla'!C79</f>
        <v>42894625</v>
      </c>
      <c r="D16" s="226">
        <f>'2.sz.tábla'!D79</f>
        <v>42894625</v>
      </c>
      <c r="E16" s="226">
        <f>'2.sz.tábla'!E79</f>
        <v>42894625</v>
      </c>
      <c r="F16" s="226">
        <f>E16-D16</f>
        <v>0</v>
      </c>
    </row>
    <row r="17" spans="1:12" ht="47.25" x14ac:dyDescent="0.25">
      <c r="A17" s="220" t="s">
        <v>11</v>
      </c>
      <c r="B17" s="219">
        <f>'2.sz.tábla'!B82</f>
        <v>544230</v>
      </c>
      <c r="C17" s="219">
        <f>'2.sz.tábla'!C82</f>
        <v>544230</v>
      </c>
      <c r="D17" s="219">
        <f>'2.sz.tábla'!D82</f>
        <v>544230</v>
      </c>
      <c r="E17" s="219">
        <f>'2.sz.tábla'!E82</f>
        <v>580230</v>
      </c>
      <c r="F17" s="226">
        <f>E17-D17</f>
        <v>36000</v>
      </c>
    </row>
    <row r="18" spans="1:12" s="92" customFormat="1" ht="18.75" customHeight="1" x14ac:dyDescent="0.25">
      <c r="A18" s="222" t="s">
        <v>12</v>
      </c>
      <c r="B18" s="227">
        <f>B16+B17</f>
        <v>39085893</v>
      </c>
      <c r="C18" s="227">
        <f>C16+C17</f>
        <v>43438855</v>
      </c>
      <c r="D18" s="227">
        <f>D16+D17</f>
        <v>43438855</v>
      </c>
      <c r="E18" s="227">
        <f>E16+E17</f>
        <v>43474855</v>
      </c>
      <c r="F18" s="227">
        <f>E18-D18</f>
        <v>36000</v>
      </c>
    </row>
    <row r="19" spans="1:12" s="92" customFormat="1" ht="19.5" customHeight="1" x14ac:dyDescent="0.25">
      <c r="A19" s="228" t="s">
        <v>13</v>
      </c>
      <c r="B19" s="215">
        <f>B14+B18</f>
        <v>100091327</v>
      </c>
      <c r="C19" s="215">
        <f>C14+C18</f>
        <v>105732770</v>
      </c>
      <c r="D19" s="215">
        <f>D14+D18</f>
        <v>113676010</v>
      </c>
      <c r="E19" s="215">
        <f>E14+E18</f>
        <v>114475650</v>
      </c>
      <c r="F19" s="215">
        <f>E19-D19</f>
        <v>799640</v>
      </c>
    </row>
    <row r="20" spans="1:12" s="92" customFormat="1" ht="14.25" customHeight="1" x14ac:dyDescent="0.25">
      <c r="A20" s="300"/>
      <c r="B20" s="300"/>
      <c r="C20" s="300"/>
      <c r="D20" s="300"/>
      <c r="E20" s="300"/>
      <c r="F20" s="300"/>
      <c r="G20" s="93"/>
      <c r="H20" s="93"/>
      <c r="I20" s="93"/>
      <c r="J20" s="93"/>
      <c r="K20" s="93"/>
      <c r="L20" s="93"/>
    </row>
    <row r="21" spans="1:12" s="92" customFormat="1" ht="14.25" customHeight="1" x14ac:dyDescent="0.25">
      <c r="A21" s="300"/>
      <c r="B21" s="300"/>
      <c r="C21" s="300"/>
      <c r="D21" s="300"/>
      <c r="E21" s="300"/>
      <c r="F21" s="300"/>
      <c r="G21" s="93"/>
      <c r="H21" s="93"/>
      <c r="I21" s="93"/>
      <c r="J21" s="93"/>
      <c r="K21" s="93"/>
      <c r="L21" s="93"/>
    </row>
    <row r="22" spans="1:12" s="94" customFormat="1" ht="20.100000000000001" customHeight="1" x14ac:dyDescent="0.25">
      <c r="A22" s="222" t="s">
        <v>14</v>
      </c>
      <c r="B22" s="223">
        <f>SUM(B23:B24)</f>
        <v>70233994</v>
      </c>
      <c r="C22" s="223">
        <f>SUM(C23:C24)</f>
        <v>71757546</v>
      </c>
      <c r="D22" s="223">
        <f>SUM(D23:D24)</f>
        <v>73774517</v>
      </c>
      <c r="E22" s="223">
        <f>SUM(E23:E24)</f>
        <v>74538157</v>
      </c>
      <c r="F22" s="223">
        <f>E22-D22</f>
        <v>763640</v>
      </c>
      <c r="G22" s="72"/>
      <c r="H22" s="72"/>
      <c r="I22" s="72"/>
      <c r="J22" s="72"/>
      <c r="K22" s="72"/>
      <c r="L22" s="72"/>
    </row>
    <row r="23" spans="1:12" s="94" customFormat="1" ht="20.100000000000001" customHeight="1" x14ac:dyDescent="0.25">
      <c r="A23" s="220" t="s">
        <v>15</v>
      </c>
      <c r="B23" s="219">
        <f>'3.tábla'!B50</f>
        <v>70233994</v>
      </c>
      <c r="C23" s="219">
        <f>'3.tábla'!C50</f>
        <v>71757546</v>
      </c>
      <c r="D23" s="219">
        <f>'3.tábla'!D50</f>
        <v>73774517</v>
      </c>
      <c r="E23" s="219">
        <f>'3.tábla'!E50</f>
        <v>74538157</v>
      </c>
      <c r="F23" s="219">
        <f>E23-D23</f>
        <v>763640</v>
      </c>
      <c r="G23" s="72"/>
      <c r="H23" s="72"/>
      <c r="I23" s="72"/>
      <c r="J23" s="72"/>
      <c r="K23" s="72"/>
      <c r="L23" s="72"/>
    </row>
    <row r="24" spans="1:12" s="94" customFormat="1" ht="18" customHeight="1" x14ac:dyDescent="0.25">
      <c r="A24" s="220"/>
      <c r="B24" s="6"/>
      <c r="C24" s="6"/>
      <c r="D24" s="6"/>
      <c r="E24" s="6"/>
      <c r="F24" s="219"/>
      <c r="G24" s="72"/>
      <c r="H24" s="72"/>
      <c r="I24" s="72"/>
      <c r="J24" s="72"/>
      <c r="K24" s="72"/>
      <c r="L24" s="72"/>
    </row>
    <row r="25" spans="1:12" s="92" customFormat="1" ht="20.100000000000001" customHeight="1" x14ac:dyDescent="0.25">
      <c r="A25" s="222" t="s">
        <v>16</v>
      </c>
      <c r="B25" s="227">
        <f>SUM(B26:B29)</f>
        <v>24264708</v>
      </c>
      <c r="C25" s="227">
        <f>SUM(C26:C29)</f>
        <v>27675808</v>
      </c>
      <c r="D25" s="227">
        <f>SUM(D26:D29)</f>
        <v>31075808</v>
      </c>
      <c r="E25" s="227">
        <f>SUM(E26:E29)</f>
        <v>31710808</v>
      </c>
      <c r="F25" s="227">
        <f>E25-D25</f>
        <v>635000</v>
      </c>
      <c r="H25" s="95"/>
      <c r="I25" s="95"/>
    </row>
    <row r="26" spans="1:12" ht="19.5" customHeight="1" x14ac:dyDescent="0.25">
      <c r="A26" s="220" t="s">
        <v>17</v>
      </c>
      <c r="B26" s="219">
        <v>0</v>
      </c>
      <c r="C26" s="219">
        <f>'2.sz.tábla'!C92</f>
        <v>0</v>
      </c>
      <c r="D26" s="219">
        <f>'2.sz.tábla'!D92</f>
        <v>0</v>
      </c>
      <c r="E26" s="219">
        <f>'2.sz.tábla'!E92</f>
        <v>0</v>
      </c>
      <c r="F26" s="219">
        <f>D26-C26</f>
        <v>0</v>
      </c>
      <c r="H26" s="89"/>
      <c r="I26" s="89"/>
    </row>
    <row r="27" spans="1:12" s="92" customFormat="1" ht="18" customHeight="1" x14ac:dyDescent="0.25">
      <c r="A27" s="220" t="s">
        <v>242</v>
      </c>
      <c r="B27" s="219">
        <f>'5.sz.tábla '!B14</f>
        <v>2400000</v>
      </c>
      <c r="C27" s="219">
        <f>'5.sz.tábla '!C14</f>
        <v>5067000</v>
      </c>
      <c r="D27" s="219">
        <f>'5.sz.tábla '!D14</f>
        <v>5767000</v>
      </c>
      <c r="E27" s="219">
        <f>'5.sz.tábla '!E14</f>
        <v>6402000</v>
      </c>
      <c r="F27" s="219">
        <f>E27-D27</f>
        <v>635000</v>
      </c>
      <c r="H27" s="95"/>
      <c r="I27" s="95"/>
    </row>
    <row r="28" spans="1:12" ht="18" customHeight="1" x14ac:dyDescent="0.25">
      <c r="A28" s="220" t="s">
        <v>18</v>
      </c>
      <c r="B28" s="219">
        <f>'5.sz.tábla '!B26</f>
        <v>21789708</v>
      </c>
      <c r="C28" s="219">
        <f>'5.sz.tábla '!C26</f>
        <v>22533808</v>
      </c>
      <c r="D28" s="219">
        <f>'5.sz.tábla '!D26</f>
        <v>25233808</v>
      </c>
      <c r="E28" s="219">
        <f>'5.sz.tábla '!E26</f>
        <v>25233808</v>
      </c>
      <c r="F28" s="219">
        <f>E28-D28</f>
        <v>0</v>
      </c>
      <c r="H28" s="89"/>
      <c r="I28" s="89"/>
    </row>
    <row r="29" spans="1:12" ht="18" customHeight="1" x14ac:dyDescent="0.25">
      <c r="A29" s="220" t="s">
        <v>287</v>
      </c>
      <c r="B29" s="219">
        <f>'5.sz.tábla '!B29</f>
        <v>75000</v>
      </c>
      <c r="C29" s="219">
        <f>'5.sz.tábla '!C29</f>
        <v>75000</v>
      </c>
      <c r="D29" s="219">
        <f>'5.sz.tábla '!D29</f>
        <v>75000</v>
      </c>
      <c r="E29" s="219">
        <f>'5.sz.tábla '!E29</f>
        <v>75000</v>
      </c>
      <c r="F29" s="219">
        <f t="shared" ref="F29" si="1">D29-C29</f>
        <v>0</v>
      </c>
      <c r="H29" s="89"/>
      <c r="I29" s="89"/>
    </row>
    <row r="30" spans="1:12" ht="12.75" customHeight="1" x14ac:dyDescent="0.25">
      <c r="A30" s="222"/>
      <c r="B30" s="219"/>
      <c r="C30" s="219"/>
      <c r="D30" s="219"/>
      <c r="E30" s="219"/>
      <c r="F30" s="219"/>
      <c r="H30" s="89"/>
      <c r="I30" s="89"/>
    </row>
    <row r="31" spans="1:12" s="92" customFormat="1" ht="18.75" customHeight="1" x14ac:dyDescent="0.25">
      <c r="A31" s="222" t="s">
        <v>19</v>
      </c>
      <c r="B31" s="227">
        <f>SUM(B32:B33)</f>
        <v>3900984</v>
      </c>
      <c r="C31" s="227">
        <f t="shared" ref="C31:F31" si="2">SUM(C32:C33)</f>
        <v>4607775</v>
      </c>
      <c r="D31" s="227">
        <f t="shared" si="2"/>
        <v>7134044</v>
      </c>
      <c r="E31" s="227">
        <f t="shared" si="2"/>
        <v>6499044</v>
      </c>
      <c r="F31" s="227">
        <f t="shared" si="2"/>
        <v>-635000</v>
      </c>
      <c r="H31" s="95"/>
      <c r="I31" s="95"/>
    </row>
    <row r="32" spans="1:12" s="92" customFormat="1" ht="18" customHeight="1" x14ac:dyDescent="0.25">
      <c r="A32" s="220" t="s">
        <v>20</v>
      </c>
      <c r="B32" s="219">
        <v>3900984</v>
      </c>
      <c r="C32" s="250">
        <f>3900984+1897528+720000+43887+83060+43734+157480+20000+2455434-1147232-156000-744100-2667000</f>
        <v>4607775</v>
      </c>
      <c r="D32" s="250">
        <f>4607775+2363209</f>
        <v>6970984</v>
      </c>
      <c r="E32" s="250">
        <f>6970984-635000</f>
        <v>6335984</v>
      </c>
      <c r="F32" s="219">
        <f>E32-D32</f>
        <v>-635000</v>
      </c>
      <c r="H32" s="95"/>
      <c r="I32" s="95"/>
    </row>
    <row r="33" spans="1:8" s="92" customFormat="1" ht="18" customHeight="1" x14ac:dyDescent="0.25">
      <c r="A33" s="220" t="s">
        <v>395</v>
      </c>
      <c r="B33" s="219">
        <v>0</v>
      </c>
      <c r="C33" s="250">
        <v>0</v>
      </c>
      <c r="D33" s="250">
        <v>163060</v>
      </c>
      <c r="E33" s="250">
        <v>163060</v>
      </c>
      <c r="F33" s="219">
        <f>E33-D33</f>
        <v>0</v>
      </c>
    </row>
    <row r="34" spans="1:8" s="92" customFormat="1" ht="18.75" customHeight="1" x14ac:dyDescent="0.25">
      <c r="A34" s="222" t="s">
        <v>21</v>
      </c>
      <c r="B34" s="227">
        <f>SUM(B31,B25,B22)</f>
        <v>98399686</v>
      </c>
      <c r="C34" s="227">
        <f t="shared" ref="C34:E34" si="3">SUM(C31,C25,C22)</f>
        <v>104041129</v>
      </c>
      <c r="D34" s="227">
        <f t="shared" si="3"/>
        <v>111984369</v>
      </c>
      <c r="E34" s="227">
        <f t="shared" si="3"/>
        <v>112748009</v>
      </c>
      <c r="F34" s="227">
        <f>SUM(F31,F25,F22)</f>
        <v>763640</v>
      </c>
    </row>
    <row r="35" spans="1:8" ht="18" customHeight="1" x14ac:dyDescent="0.25">
      <c r="A35" s="220" t="s">
        <v>22</v>
      </c>
      <c r="B35" s="219"/>
      <c r="C35" s="229"/>
      <c r="D35" s="229"/>
      <c r="E35" s="229"/>
      <c r="F35" s="219"/>
    </row>
    <row r="36" spans="1:8" ht="34.5" customHeight="1" x14ac:dyDescent="0.25">
      <c r="A36" s="220" t="s">
        <v>225</v>
      </c>
      <c r="B36" s="219">
        <f>'5.sz.tábla '!B36</f>
        <v>1691641</v>
      </c>
      <c r="C36" s="219">
        <f>'5.sz.tábla '!C36</f>
        <v>1691641</v>
      </c>
      <c r="D36" s="219">
        <f>'5.sz.tábla '!D36</f>
        <v>1691641</v>
      </c>
      <c r="E36" s="219">
        <f>'5.sz.tábla '!E36</f>
        <v>1727641</v>
      </c>
      <c r="F36" s="219">
        <f>'5.sz.tábla '!F36</f>
        <v>36000</v>
      </c>
    </row>
    <row r="37" spans="1:8" s="92" customFormat="1" ht="18.75" customHeight="1" x14ac:dyDescent="0.25">
      <c r="A37" s="222" t="s">
        <v>23</v>
      </c>
      <c r="B37" s="227">
        <f>SUM(B35:B36)</f>
        <v>1691641</v>
      </c>
      <c r="C37" s="227">
        <f>SUM(C35:C36)</f>
        <v>1691641</v>
      </c>
      <c r="D37" s="227">
        <f>SUM(D35:D36)</f>
        <v>1691641</v>
      </c>
      <c r="E37" s="227">
        <f>SUM(E35:E36)</f>
        <v>1727641</v>
      </c>
      <c r="F37" s="227">
        <f>SUM(F35:F36)</f>
        <v>36000</v>
      </c>
    </row>
    <row r="38" spans="1:8" s="92" customFormat="1" ht="21" customHeight="1" x14ac:dyDescent="0.25">
      <c r="A38" s="228" t="s">
        <v>24</v>
      </c>
      <c r="B38" s="215">
        <f>SUM(B34,B37)</f>
        <v>100091327</v>
      </c>
      <c r="C38" s="215">
        <f>SUM(C34,C37)</f>
        <v>105732770</v>
      </c>
      <c r="D38" s="215">
        <f>SUM(D34,D37)</f>
        <v>113676010</v>
      </c>
      <c r="E38" s="215">
        <f>SUM(E34,E37)</f>
        <v>114475650</v>
      </c>
      <c r="F38" s="215">
        <f>E38-D38</f>
        <v>799640</v>
      </c>
      <c r="H38" s="96"/>
    </row>
    <row r="39" spans="1:8" x14ac:dyDescent="0.25">
      <c r="A39" s="3"/>
      <c r="C39" s="3"/>
      <c r="D39" s="3"/>
      <c r="E39" s="3"/>
    </row>
    <row r="40" spans="1:8" x14ac:dyDescent="0.25">
      <c r="A40" s="3"/>
      <c r="B40" s="99">
        <f>B19-B38</f>
        <v>0</v>
      </c>
      <c r="C40" s="99">
        <f>C19-C38</f>
        <v>0</v>
      </c>
      <c r="D40" s="99">
        <f>D19-D38</f>
        <v>0</v>
      </c>
      <c r="E40" s="99">
        <f>E19-E38</f>
        <v>0</v>
      </c>
      <c r="F40" s="99">
        <f>F19-F38</f>
        <v>0</v>
      </c>
    </row>
    <row r="41" spans="1:8" x14ac:dyDescent="0.25">
      <c r="A41" s="3"/>
      <c r="C41" s="3"/>
      <c r="D41" s="3"/>
      <c r="E41" s="3"/>
    </row>
    <row r="42" spans="1:8" x14ac:dyDescent="0.25">
      <c r="A42" s="3"/>
      <c r="C42" s="3"/>
      <c r="D42" s="3"/>
      <c r="E42" s="3"/>
    </row>
    <row r="53" spans="9:9" x14ac:dyDescent="0.25">
      <c r="I53" s="98"/>
    </row>
  </sheetData>
  <sheetProtection selectLockedCells="1" selectUnlockedCells="1"/>
  <mergeCells count="2">
    <mergeCell ref="A4:F4"/>
    <mergeCell ref="A20:F21"/>
  </mergeCells>
  <phoneticPr fontId="19" type="noConversion"/>
  <printOptions horizontalCentered="1"/>
  <pageMargins left="0.78740157480314965" right="0.60072916666666665" top="1.1023622047244095" bottom="0.98425196850393704" header="0.62992125984251968" footer="0.51181102362204722"/>
  <pageSetup paperSize="9" scale="73" firstPageNumber="0" orientation="portrait" r:id="rId1"/>
  <headerFooter alignWithMargins="0">
    <oddHeader>&amp;L&amp;"Times New Roman,Normál"&amp;12Pécsely Község Önkormányzata&amp;C&amp;"Times New Roman,Félkövér"&amp;12 1. melléklet 
Az önkormányzat 2018. évi költségvetéséről szóló .../2018. (.....) önkormányzati rendelet tervezethez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view="pageLayout" zoomScaleNormal="100" workbookViewId="0">
      <selection activeCell="A2" sqref="A2:E2"/>
    </sheetView>
  </sheetViews>
  <sheetFormatPr defaultRowHeight="15.75" x14ac:dyDescent="0.25"/>
  <cols>
    <col min="1" max="1" width="15.85546875" style="49" customWidth="1"/>
    <col min="2" max="2" width="18.5703125" style="49" customWidth="1"/>
    <col min="3" max="3" width="13.28515625" style="49" bestFit="1" customWidth="1"/>
    <col min="4" max="4" width="12.140625" style="49" bestFit="1" customWidth="1"/>
    <col min="5" max="5" width="13.28515625" style="49" bestFit="1" customWidth="1"/>
    <col min="6" max="6" width="17.42578125" style="89" bestFit="1" customWidth="1"/>
    <col min="7" max="7" width="15.5703125" style="89" bestFit="1" customWidth="1"/>
    <col min="8" max="16384" width="9.140625" style="49"/>
  </cols>
  <sheetData>
    <row r="2" spans="1:7" ht="40.5" customHeight="1" x14ac:dyDescent="0.25">
      <c r="A2" s="344" t="s">
        <v>402</v>
      </c>
      <c r="B2" s="344"/>
      <c r="C2" s="344"/>
      <c r="D2" s="344"/>
      <c r="E2" s="344"/>
      <c r="F2" s="343"/>
      <c r="G2" s="343"/>
    </row>
    <row r="3" spans="1:7" x14ac:dyDescent="0.25">
      <c r="A3" s="321"/>
      <c r="B3" s="322"/>
      <c r="C3" s="322"/>
      <c r="D3" s="322"/>
      <c r="E3" s="322"/>
      <c r="F3" s="341"/>
      <c r="G3" s="341"/>
    </row>
    <row r="4" spans="1:7" x14ac:dyDescent="0.25">
      <c r="A4" s="321"/>
      <c r="B4" s="323" t="s">
        <v>403</v>
      </c>
      <c r="C4" s="324"/>
      <c r="D4" s="325"/>
      <c r="E4" s="325"/>
    </row>
    <row r="5" spans="1:7" ht="31.5" x14ac:dyDescent="0.25">
      <c r="A5" s="342" t="s">
        <v>404</v>
      </c>
      <c r="B5" s="326" t="s">
        <v>405</v>
      </c>
      <c r="C5" s="326"/>
      <c r="D5" s="326"/>
      <c r="E5" s="326"/>
    </row>
    <row r="6" spans="1:7" x14ac:dyDescent="0.25">
      <c r="A6" s="327"/>
      <c r="B6" s="328"/>
      <c r="C6" s="329"/>
      <c r="D6" s="329"/>
      <c r="E6" s="329"/>
    </row>
    <row r="7" spans="1:7" x14ac:dyDescent="0.25">
      <c r="A7" s="327"/>
      <c r="B7" s="328"/>
      <c r="C7" s="330"/>
      <c r="D7" s="330"/>
      <c r="E7" s="330"/>
    </row>
    <row r="8" spans="1:7" x14ac:dyDescent="0.25">
      <c r="A8" s="331" t="s">
        <v>406</v>
      </c>
      <c r="B8" s="332" t="s">
        <v>407</v>
      </c>
      <c r="C8" s="333" t="s">
        <v>408</v>
      </c>
      <c r="D8" s="333" t="s">
        <v>409</v>
      </c>
      <c r="E8" s="333" t="s">
        <v>81</v>
      </c>
    </row>
    <row r="9" spans="1:7" x14ac:dyDescent="0.25">
      <c r="A9" s="334" t="s">
        <v>410</v>
      </c>
      <c r="B9" s="335">
        <v>7754992</v>
      </c>
      <c r="C9" s="335">
        <v>4254990</v>
      </c>
      <c r="D9" s="335">
        <v>4255018</v>
      </c>
      <c r="E9" s="336">
        <f>SUM(B9:D9)</f>
        <v>16265000</v>
      </c>
    </row>
    <row r="10" spans="1:7" x14ac:dyDescent="0.25">
      <c r="A10" s="334" t="s">
        <v>411</v>
      </c>
      <c r="B10" s="335"/>
      <c r="C10" s="335"/>
      <c r="D10" s="335"/>
      <c r="E10" s="335">
        <v>0</v>
      </c>
    </row>
    <row r="11" spans="1:7" x14ac:dyDescent="0.25">
      <c r="A11" s="334" t="s">
        <v>412</v>
      </c>
      <c r="B11" s="335"/>
      <c r="C11" s="335"/>
      <c r="D11" s="335"/>
      <c r="E11" s="335"/>
    </row>
    <row r="12" spans="1:7" x14ac:dyDescent="0.25">
      <c r="A12" s="337" t="s">
        <v>81</v>
      </c>
      <c r="B12" s="338">
        <f>SUM(B9:B11)</f>
        <v>7754992</v>
      </c>
      <c r="C12" s="338">
        <f>SUM(C9:C11)</f>
        <v>4254990</v>
      </c>
      <c r="D12" s="338">
        <f>SUM(D9:D11)</f>
        <v>4255018</v>
      </c>
      <c r="E12" s="338">
        <f>SUM(E9:E11)</f>
        <v>16265000</v>
      </c>
    </row>
    <row r="13" spans="1:7" x14ac:dyDescent="0.25">
      <c r="A13" s="339"/>
      <c r="B13" s="340"/>
      <c r="C13" s="340"/>
      <c r="D13" s="340"/>
      <c r="E13" s="340"/>
    </row>
    <row r="14" spans="1:7" x14ac:dyDescent="0.25">
      <c r="A14" s="331" t="s">
        <v>413</v>
      </c>
      <c r="B14" s="332" t="s">
        <v>407</v>
      </c>
      <c r="C14" s="333" t="s">
        <v>408</v>
      </c>
      <c r="D14" s="333" t="s">
        <v>409</v>
      </c>
      <c r="E14" s="333" t="s">
        <v>81</v>
      </c>
    </row>
    <row r="15" spans="1:7" ht="47.25" x14ac:dyDescent="0.25">
      <c r="A15" s="334" t="s">
        <v>414</v>
      </c>
      <c r="B15" s="335">
        <v>300000</v>
      </c>
      <c r="C15" s="335">
        <v>850000</v>
      </c>
      <c r="D15" s="335">
        <v>850000</v>
      </c>
      <c r="E15" s="335">
        <f t="shared" ref="E15:E20" si="0">SUM(B15:D15)</f>
        <v>2000000</v>
      </c>
    </row>
    <row r="16" spans="1:7" ht="47.25" x14ac:dyDescent="0.25">
      <c r="A16" s="334" t="s">
        <v>415</v>
      </c>
      <c r="B16" s="335">
        <v>58000</v>
      </c>
      <c r="C16" s="335">
        <v>191000</v>
      </c>
      <c r="D16" s="335">
        <v>191000</v>
      </c>
      <c r="E16" s="335">
        <f t="shared" si="0"/>
        <v>440000</v>
      </c>
    </row>
    <row r="17" spans="1:5" ht="31.5" x14ac:dyDescent="0.25">
      <c r="A17" s="334" t="s">
        <v>416</v>
      </c>
      <c r="B17" s="335"/>
      <c r="C17" s="335">
        <v>650000</v>
      </c>
      <c r="D17" s="335">
        <v>650000</v>
      </c>
      <c r="E17" s="335">
        <f t="shared" si="0"/>
        <v>1300000</v>
      </c>
    </row>
    <row r="18" spans="1:5" x14ac:dyDescent="0.25">
      <c r="A18" s="334" t="s">
        <v>417</v>
      </c>
      <c r="B18" s="335">
        <v>3996992</v>
      </c>
      <c r="C18" s="335">
        <v>2563990</v>
      </c>
      <c r="D18" s="335">
        <v>2564018</v>
      </c>
      <c r="E18" s="335">
        <f t="shared" si="0"/>
        <v>9125000</v>
      </c>
    </row>
    <row r="19" spans="1:5" x14ac:dyDescent="0.25">
      <c r="A19" s="334" t="s">
        <v>418</v>
      </c>
      <c r="B19" s="335">
        <v>2700000</v>
      </c>
      <c r="C19" s="335"/>
      <c r="D19" s="335"/>
      <c r="E19" s="335">
        <f t="shared" si="0"/>
        <v>2700000</v>
      </c>
    </row>
    <row r="20" spans="1:5" x14ac:dyDescent="0.25">
      <c r="A20" s="334" t="s">
        <v>419</v>
      </c>
      <c r="B20" s="335">
        <v>700000</v>
      </c>
      <c r="C20" s="335"/>
      <c r="D20" s="335"/>
      <c r="E20" s="335">
        <f t="shared" si="0"/>
        <v>700000</v>
      </c>
    </row>
    <row r="21" spans="1:5" x14ac:dyDescent="0.25">
      <c r="A21" s="337" t="s">
        <v>81</v>
      </c>
      <c r="B21" s="338">
        <f>SUM(B15:B20)</f>
        <v>7754992</v>
      </c>
      <c r="C21" s="338">
        <f>SUM(C15:C20)</f>
        <v>4254990</v>
      </c>
      <c r="D21" s="338">
        <f>SUM(D15:D20)</f>
        <v>4255018</v>
      </c>
      <c r="E21" s="338">
        <f>SUM(E15:E20)</f>
        <v>16265000</v>
      </c>
    </row>
  </sheetData>
  <mergeCells count="2">
    <mergeCell ref="B5:E5"/>
    <mergeCell ref="A2:E2"/>
  </mergeCells>
  <pageMargins left="0.70866141732283472" right="0.70866141732283472" top="1.1417322834645669" bottom="0.74803149606299213" header="0.70866141732283472" footer="0.31496062992125984"/>
  <pageSetup paperSize="9" orientation="portrait" r:id="rId1"/>
  <headerFooter>
    <oddHeader>&amp;L&amp;"Times New Roman,Normál"&amp;12Pécsely Község Önkormányzata
&amp;C&amp;"Times New Roman,Normál"&amp;12 9.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97"/>
  <sheetViews>
    <sheetView view="pageLayout" topLeftCell="A3" zoomScaleNormal="100" zoomScaleSheetLayoutView="89" workbookViewId="0">
      <selection activeCell="A3" sqref="A3:F3"/>
    </sheetView>
  </sheetViews>
  <sheetFormatPr defaultColWidth="9.140625" defaultRowHeight="15.75" x14ac:dyDescent="0.25"/>
  <cols>
    <col min="1" max="1" width="40.140625" style="69" customWidth="1"/>
    <col min="2" max="2" width="15.42578125" style="70" customWidth="1"/>
    <col min="3" max="6" width="15.42578125" style="68" customWidth="1"/>
    <col min="7" max="7" width="15.5703125" style="69" bestFit="1" customWidth="1"/>
    <col min="8" max="8" width="0.28515625" style="69" customWidth="1"/>
    <col min="9" max="16384" width="9.140625" style="69"/>
  </cols>
  <sheetData>
    <row r="1" spans="1:12" hidden="1" x14ac:dyDescent="0.25">
      <c r="A1" s="5"/>
      <c r="B1" s="6"/>
      <c r="C1" s="125"/>
      <c r="D1" s="125"/>
      <c r="E1" s="125"/>
      <c r="F1" s="125"/>
    </row>
    <row r="2" spans="1:12" hidden="1" x14ac:dyDescent="0.25">
      <c r="A2" s="5"/>
      <c r="B2" s="6"/>
      <c r="C2" s="125"/>
      <c r="D2" s="125"/>
      <c r="E2" s="125"/>
      <c r="F2" s="125"/>
    </row>
    <row r="3" spans="1:12" s="71" customFormat="1" ht="37.5" customHeight="1" x14ac:dyDescent="0.25">
      <c r="A3" s="300" t="s">
        <v>334</v>
      </c>
      <c r="B3" s="300"/>
      <c r="C3" s="300"/>
      <c r="D3" s="300"/>
      <c r="E3" s="300"/>
      <c r="F3" s="300"/>
    </row>
    <row r="4" spans="1:12" s="72" customFormat="1" ht="53.25" customHeight="1" x14ac:dyDescent="0.25">
      <c r="A4" s="249" t="s">
        <v>213</v>
      </c>
      <c r="B4" s="253" t="s">
        <v>375</v>
      </c>
      <c r="C4" s="217" t="s">
        <v>376</v>
      </c>
      <c r="D4" s="217" t="s">
        <v>392</v>
      </c>
      <c r="E4" s="217" t="s">
        <v>401</v>
      </c>
      <c r="F4" s="217" t="s">
        <v>377</v>
      </c>
    </row>
    <row r="5" spans="1:12" s="72" customFormat="1" ht="31.5" x14ac:dyDescent="0.25">
      <c r="A5" s="218" t="s">
        <v>2</v>
      </c>
      <c r="B5" s="215">
        <f>B6+B14+B15+B16+B17+B18</f>
        <v>33655434</v>
      </c>
      <c r="C5" s="215">
        <f>C6+C14+C15+C16+C17+C18</f>
        <v>34003915</v>
      </c>
      <c r="D5" s="215">
        <f>D6+D14+D15+D16+D17+D18</f>
        <v>41947155</v>
      </c>
      <c r="E5" s="215">
        <f>E6+E14+E15+E16+E17+E18</f>
        <v>42710795</v>
      </c>
      <c r="F5" s="215">
        <f>E5-D5</f>
        <v>763640</v>
      </c>
    </row>
    <row r="6" spans="1:12" s="74" customFormat="1" x14ac:dyDescent="0.25">
      <c r="A6" s="112" t="s">
        <v>25</v>
      </c>
      <c r="B6" s="87">
        <f>SUM(B7:B12)</f>
        <v>28291004</v>
      </c>
      <c r="C6" s="87">
        <f>SUM(C7:C12)</f>
        <v>28595751</v>
      </c>
      <c r="D6" s="87">
        <f>SUM(D7:D12)</f>
        <v>28617618</v>
      </c>
      <c r="E6" s="87">
        <f>SUM(E7:E12)</f>
        <v>29315125</v>
      </c>
      <c r="F6" s="87">
        <f>E6-D6</f>
        <v>697507</v>
      </c>
      <c r="G6" s="73"/>
    </row>
    <row r="7" spans="1:12" s="75" customFormat="1" ht="31.5" x14ac:dyDescent="0.25">
      <c r="A7" s="254" t="s">
        <v>331</v>
      </c>
      <c r="B7" s="208">
        <f>'2a. tábla'!E6</f>
        <v>18803564</v>
      </c>
      <c r="C7" s="208">
        <f>'2a. tábla'!F6</f>
        <v>18803564</v>
      </c>
      <c r="D7" s="208">
        <f>'2a. tábla'!G6</f>
        <v>18803564</v>
      </c>
      <c r="E7" s="208">
        <f>'2a. tábla'!H6</f>
        <v>18803564</v>
      </c>
      <c r="F7" s="87">
        <f t="shared" ref="F7:F12" si="0">E7-D7</f>
        <v>0</v>
      </c>
      <c r="G7" s="72"/>
      <c r="H7" s="72"/>
      <c r="I7" s="72"/>
      <c r="J7" s="72"/>
      <c r="K7" s="72"/>
      <c r="L7" s="72"/>
    </row>
    <row r="8" spans="1:12" s="74" customFormat="1" ht="31.5" x14ac:dyDescent="0.25">
      <c r="A8" s="255" t="s">
        <v>26</v>
      </c>
      <c r="B8" s="208">
        <f>'2a. tábla'!E7</f>
        <v>0</v>
      </c>
      <c r="C8" s="87">
        <v>0</v>
      </c>
      <c r="D8" s="87">
        <v>0</v>
      </c>
      <c r="E8" s="87">
        <v>0</v>
      </c>
      <c r="F8" s="87">
        <f t="shared" si="0"/>
        <v>0</v>
      </c>
    </row>
    <row r="9" spans="1:12" s="74" customFormat="1" ht="31.5" x14ac:dyDescent="0.25">
      <c r="A9" s="116" t="s">
        <v>27</v>
      </c>
      <c r="B9" s="208">
        <f>'2a. tábla'!E34</f>
        <v>7687440</v>
      </c>
      <c r="C9" s="208">
        <f>'2a. tábla'!F34</f>
        <v>7731327</v>
      </c>
      <c r="D9" s="208">
        <f>'2a. tábla'!G34</f>
        <v>7753194</v>
      </c>
      <c r="E9" s="208">
        <f>'2a. tábla'!H34</f>
        <v>7775061</v>
      </c>
      <c r="F9" s="87">
        <f t="shared" si="0"/>
        <v>21867</v>
      </c>
    </row>
    <row r="10" spans="1:12" s="74" customFormat="1" ht="31.5" x14ac:dyDescent="0.25">
      <c r="A10" s="116" t="s">
        <v>28</v>
      </c>
      <c r="B10" s="208">
        <f>'2a. tábla'!E44</f>
        <v>1800000</v>
      </c>
      <c r="C10" s="208">
        <f>'2a. tábla'!F44</f>
        <v>1800000</v>
      </c>
      <c r="D10" s="208">
        <f>'2a. tábla'!G44</f>
        <v>1800000</v>
      </c>
      <c r="E10" s="208">
        <f>'2a. tábla'!H44</f>
        <v>1800000</v>
      </c>
      <c r="F10" s="87">
        <f t="shared" si="0"/>
        <v>0</v>
      </c>
    </row>
    <row r="11" spans="1:12" s="72" customFormat="1" ht="50.25" customHeight="1" x14ac:dyDescent="0.25">
      <c r="A11" s="116" t="s">
        <v>381</v>
      </c>
      <c r="B11" s="87">
        <v>0</v>
      </c>
      <c r="C11" s="209">
        <f>'2a. tábla'!F47</f>
        <v>177800</v>
      </c>
      <c r="D11" s="209">
        <f>'2a. tábla'!G47</f>
        <v>177800</v>
      </c>
      <c r="E11" s="209">
        <f>'2a. tábla'!H47</f>
        <v>853440</v>
      </c>
      <c r="F11" s="87">
        <f t="shared" si="0"/>
        <v>675640</v>
      </c>
    </row>
    <row r="12" spans="1:12" s="72" customFormat="1" x14ac:dyDescent="0.25">
      <c r="A12" s="116" t="s">
        <v>0</v>
      </c>
      <c r="B12" s="87">
        <v>0</v>
      </c>
      <c r="C12" s="208">
        <v>83060</v>
      </c>
      <c r="D12" s="208">
        <v>83060</v>
      </c>
      <c r="E12" s="208">
        <v>83060</v>
      </c>
      <c r="F12" s="87">
        <f t="shared" si="0"/>
        <v>0</v>
      </c>
    </row>
    <row r="13" spans="1:12" s="72" customFormat="1" x14ac:dyDescent="0.25">
      <c r="A13" s="116" t="s">
        <v>378</v>
      </c>
      <c r="B13" s="87"/>
      <c r="C13" s="256"/>
      <c r="D13" s="256"/>
      <c r="E13" s="256"/>
      <c r="F13" s="256"/>
    </row>
    <row r="14" spans="1:12" s="72" customFormat="1" x14ac:dyDescent="0.25">
      <c r="A14" s="116" t="s">
        <v>222</v>
      </c>
      <c r="B14" s="87"/>
      <c r="C14" s="256"/>
      <c r="D14" s="256"/>
      <c r="E14" s="256"/>
      <c r="F14" s="256"/>
    </row>
    <row r="15" spans="1:12" s="76" customFormat="1" ht="47.25" x14ac:dyDescent="0.25">
      <c r="A15" s="116" t="s">
        <v>29</v>
      </c>
      <c r="B15" s="87"/>
      <c r="C15" s="257"/>
      <c r="D15" s="257"/>
      <c r="E15" s="257"/>
      <c r="F15" s="256"/>
    </row>
    <row r="16" spans="1:12" s="76" customFormat="1" ht="47.25" x14ac:dyDescent="0.25">
      <c r="A16" s="116" t="s">
        <v>30</v>
      </c>
      <c r="B16" s="87"/>
      <c r="C16" s="257"/>
      <c r="D16" s="257"/>
      <c r="E16" s="257"/>
      <c r="F16" s="256"/>
    </row>
    <row r="17" spans="1:6" s="76" customFormat="1" ht="47.25" x14ac:dyDescent="0.25">
      <c r="A17" s="116" t="s">
        <v>31</v>
      </c>
      <c r="B17" s="87"/>
      <c r="C17" s="257"/>
      <c r="D17" s="257"/>
      <c r="E17" s="257"/>
      <c r="F17" s="256"/>
    </row>
    <row r="18" spans="1:6" s="72" customFormat="1" ht="36.75" customHeight="1" x14ac:dyDescent="0.25">
      <c r="A18" s="116" t="s">
        <v>32</v>
      </c>
      <c r="B18" s="209">
        <v>5364430</v>
      </c>
      <c r="C18" s="209">
        <f>C19+43734</f>
        <v>5408164</v>
      </c>
      <c r="D18" s="209">
        <f>5408164+188248-21867+7754992</f>
        <v>13329537</v>
      </c>
      <c r="E18" s="209">
        <f>5408164+188248-21867+7754992+88000-21867</f>
        <v>13395670</v>
      </c>
      <c r="F18" s="251">
        <f>E18-D18</f>
        <v>66133</v>
      </c>
    </row>
    <row r="19" spans="1:6" s="88" customFormat="1" ht="31.5" x14ac:dyDescent="0.25">
      <c r="A19" s="211" t="s">
        <v>332</v>
      </c>
      <c r="B19" s="251">
        <v>5364430</v>
      </c>
      <c r="C19" s="208">
        <v>5364430</v>
      </c>
      <c r="D19" s="208">
        <f>C19</f>
        <v>5364430</v>
      </c>
      <c r="E19" s="208">
        <f>D19</f>
        <v>5364430</v>
      </c>
      <c r="F19" s="251">
        <f>E19-D19</f>
        <v>0</v>
      </c>
    </row>
    <row r="20" spans="1:6" s="88" customFormat="1" x14ac:dyDescent="0.25">
      <c r="A20" s="211" t="s">
        <v>346</v>
      </c>
      <c r="B20" s="208">
        <v>0</v>
      </c>
      <c r="C20" s="208">
        <v>0</v>
      </c>
      <c r="D20" s="208">
        <v>0</v>
      </c>
      <c r="E20" s="208">
        <v>0</v>
      </c>
      <c r="F20" s="208">
        <v>0</v>
      </c>
    </row>
    <row r="21" spans="1:6" s="72" customFormat="1" ht="39" customHeight="1" x14ac:dyDescent="0.25">
      <c r="A21" s="218" t="s">
        <v>3</v>
      </c>
      <c r="B21" s="215">
        <f>B22+B27+B28+B29+B30</f>
        <v>0</v>
      </c>
      <c r="C21" s="215">
        <f>C22+C27+C28+C29+C30</f>
        <v>0</v>
      </c>
      <c r="D21" s="215">
        <v>0</v>
      </c>
      <c r="E21" s="215">
        <v>0</v>
      </c>
      <c r="F21" s="215">
        <f>F22+F27+F28+F29+F30</f>
        <v>0</v>
      </c>
    </row>
    <row r="22" spans="1:6" s="72" customFormat="1" ht="31.5" x14ac:dyDescent="0.25">
      <c r="A22" s="116" t="s">
        <v>33</v>
      </c>
      <c r="B22" s="208">
        <v>0</v>
      </c>
      <c r="C22" s="208">
        <v>0</v>
      </c>
      <c r="D22" s="208">
        <v>0</v>
      </c>
      <c r="E22" s="208">
        <v>0</v>
      </c>
      <c r="F22" s="208">
        <v>0</v>
      </c>
    </row>
    <row r="23" spans="1:6" s="72" customFormat="1" ht="31.5" x14ac:dyDescent="0.25">
      <c r="A23" s="116" t="s">
        <v>34</v>
      </c>
      <c r="B23" s="84"/>
      <c r="C23" s="258"/>
      <c r="D23" s="258"/>
      <c r="E23" s="258"/>
      <c r="F23" s="258"/>
    </row>
    <row r="24" spans="1:6" s="72" customFormat="1" x14ac:dyDescent="0.25">
      <c r="A24" s="116" t="s">
        <v>94</v>
      </c>
      <c r="B24" s="84"/>
      <c r="C24" s="258"/>
      <c r="D24" s="258"/>
      <c r="E24" s="258"/>
      <c r="F24" s="258"/>
    </row>
    <row r="25" spans="1:6" s="72" customFormat="1" x14ac:dyDescent="0.25">
      <c r="A25" s="116" t="s">
        <v>327</v>
      </c>
      <c r="B25" s="84"/>
      <c r="C25" s="258"/>
      <c r="D25" s="258"/>
      <c r="E25" s="258"/>
      <c r="F25" s="258"/>
    </row>
    <row r="26" spans="1:6" s="72" customFormat="1" x14ac:dyDescent="0.25">
      <c r="A26" s="116" t="s">
        <v>326</v>
      </c>
      <c r="B26" s="84"/>
      <c r="C26" s="258"/>
      <c r="D26" s="258"/>
      <c r="E26" s="258"/>
      <c r="F26" s="258"/>
    </row>
    <row r="27" spans="1:6" s="72" customFormat="1" ht="47.25" x14ac:dyDescent="0.25">
      <c r="A27" s="116" t="s">
        <v>35</v>
      </c>
      <c r="B27" s="84"/>
      <c r="C27" s="258"/>
      <c r="D27" s="258"/>
      <c r="E27" s="258"/>
      <c r="F27" s="258"/>
    </row>
    <row r="28" spans="1:6" s="72" customFormat="1" ht="48" customHeight="1" x14ac:dyDescent="0.25">
      <c r="A28" s="116" t="s">
        <v>36</v>
      </c>
      <c r="B28" s="84"/>
      <c r="C28" s="258"/>
      <c r="D28" s="258"/>
      <c r="E28" s="258"/>
      <c r="F28" s="258"/>
    </row>
    <row r="29" spans="1:6" s="72" customFormat="1" ht="51.75" customHeight="1" x14ac:dyDescent="0.25">
      <c r="A29" s="116" t="s">
        <v>37</v>
      </c>
      <c r="B29" s="84"/>
      <c r="C29" s="258"/>
      <c r="D29" s="258"/>
      <c r="E29" s="258"/>
      <c r="F29" s="258"/>
    </row>
    <row r="30" spans="1:6" s="72" customFormat="1" ht="31.5" x14ac:dyDescent="0.25">
      <c r="A30" s="116" t="s">
        <v>223</v>
      </c>
      <c r="B30" s="84"/>
      <c r="C30" s="258"/>
      <c r="D30" s="258"/>
      <c r="E30" s="258"/>
      <c r="F30" s="258"/>
    </row>
    <row r="31" spans="1:6" s="72" customFormat="1" ht="27" customHeight="1" x14ac:dyDescent="0.25">
      <c r="A31" s="259"/>
      <c r="B31" s="249"/>
      <c r="C31" s="258"/>
      <c r="D31" s="258"/>
      <c r="E31" s="258"/>
      <c r="F31" s="258"/>
    </row>
    <row r="32" spans="1:6" s="72" customFormat="1" ht="54" customHeight="1" x14ac:dyDescent="0.25">
      <c r="A32" s="249" t="s">
        <v>213</v>
      </c>
      <c r="B32" s="253" t="s">
        <v>375</v>
      </c>
      <c r="C32" s="253" t="s">
        <v>376</v>
      </c>
      <c r="D32" s="253" t="s">
        <v>392</v>
      </c>
      <c r="E32" s="253" t="s">
        <v>401</v>
      </c>
      <c r="F32" s="253" t="s">
        <v>377</v>
      </c>
    </row>
    <row r="33" spans="1:6" s="72" customFormat="1" x14ac:dyDescent="0.25">
      <c r="A33" s="218" t="s">
        <v>4</v>
      </c>
      <c r="B33" s="7">
        <f>B34+B38+B46</f>
        <v>20250000</v>
      </c>
      <c r="C33" s="7">
        <f>C34+C38+C46</f>
        <v>20250000</v>
      </c>
      <c r="D33" s="7">
        <f>D34+D38+D46</f>
        <v>20250000</v>
      </c>
      <c r="E33" s="7">
        <f>E34+E38+E46</f>
        <v>20250000</v>
      </c>
      <c r="F33" s="7">
        <f>E33-D33</f>
        <v>0</v>
      </c>
    </row>
    <row r="34" spans="1:6" s="72" customFormat="1" x14ac:dyDescent="0.25">
      <c r="A34" s="116" t="s">
        <v>38</v>
      </c>
      <c r="B34" s="84">
        <f>SUM(B35:B37)</f>
        <v>10000000</v>
      </c>
      <c r="C34" s="84">
        <f>SUM(C35:C37)</f>
        <v>10000000</v>
      </c>
      <c r="D34" s="84">
        <f>SUM(D35:D37)</f>
        <v>10000000</v>
      </c>
      <c r="E34" s="84">
        <f>SUM(E35:E37)</f>
        <v>10000000</v>
      </c>
      <c r="F34" s="84">
        <f t="shared" ref="F34:F42" si="1">E34-D34</f>
        <v>0</v>
      </c>
    </row>
    <row r="35" spans="1:6" s="72" customFormat="1" x14ac:dyDescent="0.25">
      <c r="A35" s="112" t="s">
        <v>39</v>
      </c>
      <c r="B35" s="84">
        <v>0</v>
      </c>
      <c r="C35" s="84">
        <v>0</v>
      </c>
      <c r="D35" s="84">
        <v>0</v>
      </c>
      <c r="E35" s="84">
        <v>0</v>
      </c>
      <c r="F35" s="84">
        <f t="shared" si="1"/>
        <v>0</v>
      </c>
    </row>
    <row r="36" spans="1:6" s="72" customFormat="1" x14ac:dyDescent="0.25">
      <c r="A36" s="112" t="s">
        <v>40</v>
      </c>
      <c r="B36" s="84">
        <v>200000</v>
      </c>
      <c r="C36" s="84">
        <v>200000</v>
      </c>
      <c r="D36" s="84">
        <v>200000</v>
      </c>
      <c r="E36" s="84">
        <v>200000</v>
      </c>
      <c r="F36" s="84">
        <f t="shared" si="1"/>
        <v>0</v>
      </c>
    </row>
    <row r="37" spans="1:6" s="72" customFormat="1" ht="31.5" x14ac:dyDescent="0.25">
      <c r="A37" s="260" t="s">
        <v>358</v>
      </c>
      <c r="B37" s="261">
        <v>9800000</v>
      </c>
      <c r="C37" s="84">
        <v>9800000</v>
      </c>
      <c r="D37" s="84">
        <v>9800000</v>
      </c>
      <c r="E37" s="84">
        <v>9800000</v>
      </c>
      <c r="F37" s="84">
        <f t="shared" si="1"/>
        <v>0</v>
      </c>
    </row>
    <row r="38" spans="1:6" s="72" customFormat="1" ht="27" customHeight="1" x14ac:dyDescent="0.25">
      <c r="A38" s="116" t="s">
        <v>41</v>
      </c>
      <c r="B38" s="84">
        <f>B39+B41+B42</f>
        <v>10000000</v>
      </c>
      <c r="C38" s="84">
        <f>C39+C41+C42</f>
        <v>10000000</v>
      </c>
      <c r="D38" s="84">
        <f>D39+D41+D42</f>
        <v>10000000</v>
      </c>
      <c r="E38" s="84">
        <f>E39+E41+E42</f>
        <v>10000000</v>
      </c>
      <c r="F38" s="84">
        <f t="shared" si="1"/>
        <v>0</v>
      </c>
    </row>
    <row r="39" spans="1:6" s="72" customFormat="1" ht="25.5" customHeight="1" x14ac:dyDescent="0.25">
      <c r="A39" s="116" t="s">
        <v>42</v>
      </c>
      <c r="B39" s="84">
        <f>SUM(B40)</f>
        <v>8200000</v>
      </c>
      <c r="C39" s="84">
        <f>SUM(C40)</f>
        <v>8200000</v>
      </c>
      <c r="D39" s="84">
        <f>SUM(D40)</f>
        <v>8200000</v>
      </c>
      <c r="E39" s="84">
        <f>SUM(E40)</f>
        <v>8200000</v>
      </c>
      <c r="F39" s="84">
        <f t="shared" si="1"/>
        <v>0</v>
      </c>
    </row>
    <row r="40" spans="1:6" s="72" customFormat="1" x14ac:dyDescent="0.25">
      <c r="A40" s="116" t="s">
        <v>43</v>
      </c>
      <c r="B40" s="84">
        <v>8200000</v>
      </c>
      <c r="C40" s="84">
        <v>8200000</v>
      </c>
      <c r="D40" s="84">
        <v>8200000</v>
      </c>
      <c r="E40" s="84">
        <v>8200000</v>
      </c>
      <c r="F40" s="84">
        <f t="shared" si="1"/>
        <v>0</v>
      </c>
    </row>
    <row r="41" spans="1:6" s="72" customFormat="1" x14ac:dyDescent="0.25">
      <c r="A41" s="116" t="s">
        <v>44</v>
      </c>
      <c r="B41" s="84">
        <v>1500000</v>
      </c>
      <c r="C41" s="84">
        <v>1500000</v>
      </c>
      <c r="D41" s="84">
        <v>1500000</v>
      </c>
      <c r="E41" s="84">
        <v>1500000</v>
      </c>
      <c r="F41" s="84">
        <f t="shared" si="1"/>
        <v>0</v>
      </c>
    </row>
    <row r="42" spans="1:6" s="72" customFormat="1" ht="31.5" x14ac:dyDescent="0.25">
      <c r="A42" s="116" t="s">
        <v>45</v>
      </c>
      <c r="B42" s="84">
        <f>SUM(B43:B45)</f>
        <v>300000</v>
      </c>
      <c r="C42" s="84">
        <f>SUM(C43:C45)</f>
        <v>300000</v>
      </c>
      <c r="D42" s="84">
        <f>SUM(D43:D45)</f>
        <v>300000</v>
      </c>
      <c r="E42" s="84">
        <f>SUM(E43:E45)</f>
        <v>300000</v>
      </c>
      <c r="F42" s="84">
        <f t="shared" si="1"/>
        <v>0</v>
      </c>
    </row>
    <row r="43" spans="1:6" s="72" customFormat="1" x14ac:dyDescent="0.25">
      <c r="A43" s="116" t="s">
        <v>46</v>
      </c>
      <c r="B43" s="84">
        <v>300000</v>
      </c>
      <c r="C43" s="84">
        <v>300000</v>
      </c>
      <c r="D43" s="84">
        <v>300000</v>
      </c>
      <c r="E43" s="84">
        <v>300000</v>
      </c>
      <c r="F43" s="84">
        <f>E43-D43</f>
        <v>0</v>
      </c>
    </row>
    <row r="44" spans="1:6" s="72" customFormat="1" x14ac:dyDescent="0.25">
      <c r="A44" s="116" t="s">
        <v>47</v>
      </c>
      <c r="B44" s="84">
        <v>0</v>
      </c>
      <c r="C44" s="84">
        <v>0</v>
      </c>
      <c r="D44" s="84">
        <v>0</v>
      </c>
      <c r="E44" s="84">
        <v>0</v>
      </c>
      <c r="F44" s="84">
        <f t="shared" ref="F44:F45" si="2">D44-C44</f>
        <v>0</v>
      </c>
    </row>
    <row r="45" spans="1:6" s="72" customFormat="1" x14ac:dyDescent="0.25">
      <c r="A45" s="116" t="s">
        <v>214</v>
      </c>
      <c r="B45" s="84">
        <v>0</v>
      </c>
      <c r="C45" s="84">
        <v>0</v>
      </c>
      <c r="D45" s="84">
        <v>0</v>
      </c>
      <c r="E45" s="84">
        <v>0</v>
      </c>
      <c r="F45" s="84">
        <f t="shared" si="2"/>
        <v>0</v>
      </c>
    </row>
    <row r="46" spans="1:6" s="72" customFormat="1" ht="31.5" x14ac:dyDescent="0.25">
      <c r="A46" s="116" t="s">
        <v>359</v>
      </c>
      <c r="B46" s="84">
        <v>250000</v>
      </c>
      <c r="C46" s="84">
        <v>250000</v>
      </c>
      <c r="D46" s="84">
        <v>250000</v>
      </c>
      <c r="E46" s="84">
        <v>250000</v>
      </c>
      <c r="F46" s="84">
        <f>E46-D46</f>
        <v>0</v>
      </c>
    </row>
    <row r="47" spans="1:6" s="77" customFormat="1" ht="27" customHeight="1" x14ac:dyDescent="0.2">
      <c r="A47" s="262" t="s">
        <v>5</v>
      </c>
      <c r="B47" s="215">
        <f t="shared" ref="B47:E47" si="3">B48+B49+B51+B52+B55+B56+B57+B58+B59</f>
        <v>7100000</v>
      </c>
      <c r="C47" s="215">
        <f t="shared" si="3"/>
        <v>7862520</v>
      </c>
      <c r="D47" s="215">
        <f t="shared" si="3"/>
        <v>7862520</v>
      </c>
      <c r="E47" s="215">
        <f t="shared" si="3"/>
        <v>7862520</v>
      </c>
      <c r="F47" s="215">
        <f>E47-D47</f>
        <v>0</v>
      </c>
    </row>
    <row r="48" spans="1:6" s="78" customFormat="1" x14ac:dyDescent="0.25">
      <c r="A48" s="112" t="s">
        <v>48</v>
      </c>
      <c r="B48" s="84"/>
      <c r="C48" s="263"/>
      <c r="D48" s="263"/>
      <c r="E48" s="263"/>
      <c r="F48" s="263"/>
    </row>
    <row r="49" spans="1:6" s="80" customFormat="1" x14ac:dyDescent="0.25">
      <c r="A49" s="112" t="s">
        <v>49</v>
      </c>
      <c r="B49" s="87">
        <v>0</v>
      </c>
      <c r="C49" s="87">
        <v>720000</v>
      </c>
      <c r="D49" s="87">
        <v>720000</v>
      </c>
      <c r="E49" s="87">
        <v>720000</v>
      </c>
      <c r="F49" s="87">
        <f>E49-D49</f>
        <v>0</v>
      </c>
    </row>
    <row r="50" spans="1:6" s="80" customFormat="1" x14ac:dyDescent="0.25">
      <c r="A50" s="112" t="s">
        <v>95</v>
      </c>
      <c r="B50" s="87">
        <v>720000</v>
      </c>
      <c r="C50" s="87">
        <v>720000</v>
      </c>
      <c r="D50" s="87">
        <v>720000</v>
      </c>
      <c r="E50" s="87">
        <v>720000</v>
      </c>
      <c r="F50" s="87">
        <f t="shared" ref="F50:F52" si="4">E50-D50</f>
        <v>0</v>
      </c>
    </row>
    <row r="51" spans="1:6" s="80" customFormat="1" x14ac:dyDescent="0.25">
      <c r="A51" s="116" t="s">
        <v>50</v>
      </c>
      <c r="B51" s="87">
        <v>2500000</v>
      </c>
      <c r="C51" s="87">
        <v>2500000</v>
      </c>
      <c r="D51" s="87">
        <v>2500000</v>
      </c>
      <c r="E51" s="87">
        <v>2500000</v>
      </c>
      <c r="F51" s="87">
        <f t="shared" si="4"/>
        <v>0</v>
      </c>
    </row>
    <row r="52" spans="1:6" s="80" customFormat="1" x14ac:dyDescent="0.25">
      <c r="A52" s="116" t="s">
        <v>51</v>
      </c>
      <c r="B52" s="87">
        <v>3000000</v>
      </c>
      <c r="C52" s="87">
        <v>3000000</v>
      </c>
      <c r="D52" s="87">
        <v>3000000</v>
      </c>
      <c r="E52" s="87">
        <v>3000000</v>
      </c>
      <c r="F52" s="87">
        <f t="shared" si="4"/>
        <v>0</v>
      </c>
    </row>
    <row r="53" spans="1:6" s="80" customFormat="1" ht="24.75" customHeight="1" x14ac:dyDescent="0.25">
      <c r="A53" s="264" t="s">
        <v>52</v>
      </c>
      <c r="B53" s="87"/>
      <c r="C53" s="87"/>
      <c r="D53" s="87"/>
      <c r="E53" s="87"/>
      <c r="F53" s="87"/>
    </row>
    <row r="54" spans="1:6" s="80" customFormat="1" x14ac:dyDescent="0.25">
      <c r="A54" s="264" t="s">
        <v>53</v>
      </c>
      <c r="B54" s="87"/>
      <c r="C54" s="87"/>
      <c r="D54" s="87"/>
      <c r="E54" s="87"/>
      <c r="F54" s="87"/>
    </row>
    <row r="55" spans="1:6" s="80" customFormat="1" ht="24.75" customHeight="1" x14ac:dyDescent="0.25">
      <c r="A55" s="264" t="s">
        <v>54</v>
      </c>
      <c r="B55" s="87">
        <v>500000</v>
      </c>
      <c r="C55" s="87">
        <v>500000</v>
      </c>
      <c r="D55" s="87">
        <v>500000</v>
      </c>
      <c r="E55" s="87">
        <v>500000</v>
      </c>
      <c r="F55" s="87">
        <f>E55-D55</f>
        <v>0</v>
      </c>
    </row>
    <row r="56" spans="1:6" s="80" customFormat="1" ht="24" customHeight="1" x14ac:dyDescent="0.25">
      <c r="A56" s="112" t="s">
        <v>55</v>
      </c>
      <c r="B56" s="87">
        <v>1050000</v>
      </c>
      <c r="C56" s="87">
        <f>1050000+42520</f>
        <v>1092520</v>
      </c>
      <c r="D56" s="87">
        <v>1092520</v>
      </c>
      <c r="E56" s="87">
        <v>1092520</v>
      </c>
      <c r="F56" s="87">
        <f>E56-D56</f>
        <v>0</v>
      </c>
    </row>
    <row r="57" spans="1:6" s="80" customFormat="1" ht="24" customHeight="1" x14ac:dyDescent="0.25">
      <c r="A57" s="112" t="s">
        <v>56</v>
      </c>
      <c r="B57" s="87"/>
      <c r="C57" s="87"/>
      <c r="D57" s="87"/>
      <c r="E57" s="87"/>
      <c r="F57" s="87"/>
    </row>
    <row r="58" spans="1:6" s="80" customFormat="1" x14ac:dyDescent="0.25">
      <c r="A58" s="112" t="s">
        <v>57</v>
      </c>
      <c r="B58" s="87">
        <v>50000</v>
      </c>
      <c r="C58" s="87">
        <v>50000</v>
      </c>
      <c r="D58" s="87">
        <v>50000</v>
      </c>
      <c r="E58" s="87">
        <v>50000</v>
      </c>
      <c r="F58" s="87">
        <f>E58-D58</f>
        <v>0</v>
      </c>
    </row>
    <row r="59" spans="1:6" s="80" customFormat="1" ht="35.25" customHeight="1" x14ac:dyDescent="0.25">
      <c r="A59" s="264" t="s">
        <v>215</v>
      </c>
      <c r="B59" s="84"/>
      <c r="C59" s="79"/>
      <c r="D59" s="79"/>
      <c r="E59" s="79"/>
      <c r="F59" s="215"/>
    </row>
    <row r="60" spans="1:6" s="77" customFormat="1" ht="24.75" customHeight="1" x14ac:dyDescent="0.2">
      <c r="A60" s="262" t="s">
        <v>6</v>
      </c>
      <c r="B60" s="215">
        <f>SUM(B61:B65)</f>
        <v>0</v>
      </c>
      <c r="C60" s="215">
        <f>SUM(C61:C65)</f>
        <v>177480</v>
      </c>
      <c r="D60" s="215">
        <f>SUM(D61:D65)</f>
        <v>177480</v>
      </c>
      <c r="E60" s="215">
        <f>SUM(E61:E65)</f>
        <v>177480</v>
      </c>
      <c r="F60" s="215">
        <f>E60-D60</f>
        <v>0</v>
      </c>
    </row>
    <row r="61" spans="1:6" s="77" customFormat="1" x14ac:dyDescent="0.25">
      <c r="A61" s="116" t="s">
        <v>58</v>
      </c>
      <c r="B61" s="84"/>
      <c r="C61" s="256"/>
      <c r="D61" s="256"/>
      <c r="E61" s="256"/>
      <c r="F61" s="256"/>
    </row>
    <row r="62" spans="1:6" s="80" customFormat="1" ht="31.5" x14ac:dyDescent="0.25">
      <c r="A62" s="116" t="s">
        <v>385</v>
      </c>
      <c r="B62" s="84"/>
      <c r="C62" s="87">
        <v>20000</v>
      </c>
      <c r="D62" s="87">
        <v>20000</v>
      </c>
      <c r="E62" s="87">
        <v>20000</v>
      </c>
      <c r="F62" s="87">
        <f>E62-D62</f>
        <v>0</v>
      </c>
    </row>
    <row r="63" spans="1:6" s="80" customFormat="1" ht="31.5" x14ac:dyDescent="0.25">
      <c r="A63" s="265" t="s">
        <v>382</v>
      </c>
      <c r="B63" s="84"/>
      <c r="C63" s="87">
        <v>157480</v>
      </c>
      <c r="D63" s="87">
        <v>157480</v>
      </c>
      <c r="E63" s="87">
        <v>157480</v>
      </c>
      <c r="F63" s="87">
        <f>E63-D63</f>
        <v>0</v>
      </c>
    </row>
    <row r="64" spans="1:6" s="80" customFormat="1" x14ac:dyDescent="0.25">
      <c r="A64" s="116" t="s">
        <v>59</v>
      </c>
      <c r="B64" s="84"/>
      <c r="C64" s="79"/>
      <c r="D64" s="79"/>
      <c r="E64" s="79"/>
      <c r="F64" s="79"/>
    </row>
    <row r="65" spans="1:7" s="80" customFormat="1" ht="31.5" x14ac:dyDescent="0.25">
      <c r="A65" s="116" t="s">
        <v>60</v>
      </c>
      <c r="B65" s="84"/>
      <c r="C65" s="79"/>
      <c r="D65" s="79"/>
      <c r="E65" s="79"/>
      <c r="F65" s="79"/>
    </row>
    <row r="66" spans="1:7" s="77" customFormat="1" ht="40.5" customHeight="1" x14ac:dyDescent="0.2">
      <c r="A66" s="262" t="s">
        <v>7</v>
      </c>
      <c r="B66" s="215">
        <f>SUM(B67:B69)</f>
        <v>0</v>
      </c>
      <c r="C66" s="215">
        <v>0</v>
      </c>
      <c r="D66" s="215">
        <v>0</v>
      </c>
      <c r="E66" s="215">
        <v>0</v>
      </c>
      <c r="F66" s="215">
        <v>0</v>
      </c>
    </row>
    <row r="67" spans="1:7" s="77" customFormat="1" ht="47.25" x14ac:dyDescent="0.25">
      <c r="A67" s="116" t="s">
        <v>61</v>
      </c>
      <c r="B67" s="84"/>
      <c r="C67" s="256"/>
      <c r="D67" s="256"/>
      <c r="E67" s="256"/>
      <c r="F67" s="256"/>
    </row>
    <row r="68" spans="1:7" s="80" customFormat="1" ht="47.25" x14ac:dyDescent="0.25">
      <c r="A68" s="116" t="s">
        <v>62</v>
      </c>
      <c r="B68" s="84"/>
      <c r="C68" s="79"/>
      <c r="D68" s="79"/>
      <c r="E68" s="79"/>
      <c r="F68" s="79"/>
    </row>
    <row r="69" spans="1:7" s="80" customFormat="1" ht="31.5" x14ac:dyDescent="0.25">
      <c r="A69" s="116" t="s">
        <v>63</v>
      </c>
      <c r="B69" s="84"/>
      <c r="C69" s="79"/>
      <c r="D69" s="79"/>
      <c r="E69" s="79"/>
      <c r="F69" s="79"/>
    </row>
    <row r="70" spans="1:7" s="80" customFormat="1" ht="28.5" customHeight="1" x14ac:dyDescent="0.2">
      <c r="A70" s="249"/>
      <c r="B70" s="249"/>
      <c r="C70" s="79"/>
      <c r="D70" s="79"/>
      <c r="E70" s="79"/>
      <c r="F70" s="79"/>
    </row>
    <row r="71" spans="1:7" s="72" customFormat="1" ht="54.75" customHeight="1" x14ac:dyDescent="0.25">
      <c r="A71" s="249" t="s">
        <v>213</v>
      </c>
      <c r="B71" s="253" t="s">
        <v>375</v>
      </c>
      <c r="C71" s="217" t="s">
        <v>376</v>
      </c>
      <c r="D71" s="217" t="s">
        <v>392</v>
      </c>
      <c r="E71" s="217" t="s">
        <v>401</v>
      </c>
      <c r="F71" s="217" t="s">
        <v>377</v>
      </c>
    </row>
    <row r="72" spans="1:7" s="77" customFormat="1" ht="31.5" x14ac:dyDescent="0.2">
      <c r="A72" s="266" t="s">
        <v>8</v>
      </c>
      <c r="B72" s="215">
        <f>SUM(B73:B75)</f>
        <v>0</v>
      </c>
      <c r="C72" s="215">
        <f>SUM(C73:C75)</f>
        <v>0</v>
      </c>
      <c r="D72" s="215">
        <v>0</v>
      </c>
      <c r="E72" s="215">
        <v>0</v>
      </c>
      <c r="F72" s="215">
        <v>0</v>
      </c>
    </row>
    <row r="73" spans="1:7" s="80" customFormat="1" ht="72" customHeight="1" x14ac:dyDescent="0.2">
      <c r="A73" s="221" t="s">
        <v>64</v>
      </c>
      <c r="B73" s="87"/>
      <c r="C73" s="79"/>
      <c r="D73" s="79"/>
      <c r="E73" s="79"/>
      <c r="F73" s="79"/>
    </row>
    <row r="74" spans="1:7" s="80" customFormat="1" ht="68.25" customHeight="1" x14ac:dyDescent="0.2">
      <c r="A74" s="221" t="s">
        <v>65</v>
      </c>
      <c r="B74" s="87"/>
      <c r="C74" s="79"/>
      <c r="D74" s="79"/>
      <c r="E74" s="79"/>
      <c r="F74" s="79"/>
    </row>
    <row r="75" spans="1:7" s="80" customFormat="1" ht="31.5" customHeight="1" x14ac:dyDescent="0.2">
      <c r="A75" s="221" t="s">
        <v>66</v>
      </c>
      <c r="B75" s="87"/>
      <c r="C75" s="79"/>
      <c r="D75" s="79"/>
      <c r="E75" s="79"/>
      <c r="F75" s="79"/>
    </row>
    <row r="76" spans="1:7" s="80" customFormat="1" ht="33" customHeight="1" x14ac:dyDescent="0.2">
      <c r="A76" s="221" t="s">
        <v>328</v>
      </c>
      <c r="B76" s="87"/>
      <c r="C76" s="79"/>
      <c r="D76" s="79"/>
      <c r="E76" s="79"/>
      <c r="F76" s="79"/>
    </row>
    <row r="77" spans="1:7" s="77" customFormat="1" ht="30.75" customHeight="1" x14ac:dyDescent="0.2">
      <c r="A77" s="262" t="s">
        <v>9</v>
      </c>
      <c r="B77" s="215">
        <f>B72+B66+B60+B47+B33+B21+B5</f>
        <v>61005434</v>
      </c>
      <c r="C77" s="215">
        <f>C72+C66+C60+C47+C33+C21+C5</f>
        <v>62293915</v>
      </c>
      <c r="D77" s="215">
        <f>D72+D66+D60+D47+D33+D21+D5</f>
        <v>70237155</v>
      </c>
      <c r="E77" s="215">
        <f>E72+E66+E60+E47+E33+E21+E5</f>
        <v>71000795</v>
      </c>
      <c r="F77" s="215">
        <f>E77-D77</f>
        <v>763640</v>
      </c>
      <c r="G77" s="81"/>
    </row>
    <row r="78" spans="1:7" s="77" customFormat="1" ht="33" customHeight="1" x14ac:dyDescent="0.2">
      <c r="A78" s="266" t="s">
        <v>10</v>
      </c>
      <c r="B78" s="215"/>
      <c r="C78" s="256"/>
      <c r="D78" s="256"/>
      <c r="E78" s="256"/>
      <c r="F78" s="256"/>
      <c r="G78" s="81"/>
    </row>
    <row r="79" spans="1:7" s="77" customFormat="1" ht="46.5" customHeight="1" x14ac:dyDescent="0.2">
      <c r="A79" s="266" t="s">
        <v>67</v>
      </c>
      <c r="B79" s="215">
        <f>SUM(B80:B81)</f>
        <v>38541663</v>
      </c>
      <c r="C79" s="215">
        <f>SUM(C80:C81)</f>
        <v>42894625</v>
      </c>
      <c r="D79" s="215">
        <f>SUM(D80:D81)</f>
        <v>42894625</v>
      </c>
      <c r="E79" s="215">
        <f>SUM(E80:E81)</f>
        <v>42894625</v>
      </c>
      <c r="F79" s="215">
        <f>E79-D79</f>
        <v>0</v>
      </c>
    </row>
    <row r="80" spans="1:7" s="80" customFormat="1" ht="60.75" customHeight="1" x14ac:dyDescent="0.2">
      <c r="A80" s="263" t="s">
        <v>330</v>
      </c>
      <c r="B80" s="87">
        <v>19500000</v>
      </c>
      <c r="C80" s="87">
        <f>42894625-19041663</f>
        <v>23852962</v>
      </c>
      <c r="D80" s="87">
        <f>42894625-19041663</f>
        <v>23852962</v>
      </c>
      <c r="E80" s="87">
        <f>42894625-19041663</f>
        <v>23852962</v>
      </c>
      <c r="F80" s="87">
        <f>E80-D80</f>
        <v>0</v>
      </c>
    </row>
    <row r="81" spans="1:7" s="80" customFormat="1" ht="47.25" x14ac:dyDescent="0.2">
      <c r="A81" s="263" t="s">
        <v>68</v>
      </c>
      <c r="B81" s="87">
        <f>12738922+6302741</f>
        <v>19041663</v>
      </c>
      <c r="C81" s="87">
        <v>19041663</v>
      </c>
      <c r="D81" s="87">
        <v>19041663</v>
      </c>
      <c r="E81" s="87">
        <v>19041663</v>
      </c>
      <c r="F81" s="87">
        <f>E81-D81</f>
        <v>0</v>
      </c>
    </row>
    <row r="82" spans="1:7" s="77" customFormat="1" ht="47.25" x14ac:dyDescent="0.2">
      <c r="A82" s="266" t="s">
        <v>69</v>
      </c>
      <c r="B82" s="215">
        <f>B83+B87+B92+B93</f>
        <v>544230</v>
      </c>
      <c r="C82" s="215">
        <f>C83+C87+C92+C93</f>
        <v>544230</v>
      </c>
      <c r="D82" s="215">
        <f>D83+D87+D92+D93</f>
        <v>544230</v>
      </c>
      <c r="E82" s="215">
        <f>E83+E87+E92+E93</f>
        <v>580230</v>
      </c>
      <c r="F82" s="215">
        <f>E82-D82</f>
        <v>36000</v>
      </c>
      <c r="G82" s="81"/>
    </row>
    <row r="83" spans="1:7" s="77" customFormat="1" ht="31.5" x14ac:dyDescent="0.2">
      <c r="A83" s="262" t="s">
        <v>292</v>
      </c>
      <c r="B83" s="215"/>
      <c r="C83" s="267"/>
      <c r="D83" s="267"/>
      <c r="E83" s="267"/>
      <c r="F83" s="256"/>
    </row>
    <row r="84" spans="1:7" s="80" customFormat="1" ht="31.5" x14ac:dyDescent="0.2">
      <c r="A84" s="221" t="s">
        <v>293</v>
      </c>
      <c r="B84" s="87"/>
      <c r="C84" s="267"/>
      <c r="D84" s="267"/>
      <c r="E84" s="267"/>
      <c r="F84" s="79"/>
    </row>
    <row r="85" spans="1:7" s="80" customFormat="1" ht="31.5" x14ac:dyDescent="0.2">
      <c r="A85" s="221" t="s">
        <v>294</v>
      </c>
      <c r="B85" s="87"/>
      <c r="C85" s="267"/>
      <c r="D85" s="267"/>
      <c r="E85" s="267"/>
      <c r="F85" s="79"/>
    </row>
    <row r="86" spans="1:7" s="80" customFormat="1" ht="31.5" x14ac:dyDescent="0.2">
      <c r="A86" s="221" t="s">
        <v>295</v>
      </c>
      <c r="B86" s="87"/>
      <c r="C86" s="267"/>
      <c r="D86" s="267"/>
      <c r="E86" s="267"/>
      <c r="F86" s="79"/>
      <c r="G86" s="82"/>
    </row>
    <row r="87" spans="1:7" s="77" customFormat="1" x14ac:dyDescent="0.2">
      <c r="A87" s="262" t="s">
        <v>296</v>
      </c>
      <c r="B87" s="215"/>
      <c r="C87" s="256"/>
      <c r="D87" s="256"/>
      <c r="E87" s="256"/>
      <c r="F87" s="256"/>
    </row>
    <row r="88" spans="1:7" s="80" customFormat="1" ht="31.5" x14ac:dyDescent="0.2">
      <c r="A88" s="268" t="s">
        <v>297</v>
      </c>
      <c r="B88" s="87"/>
      <c r="C88" s="79"/>
      <c r="D88" s="79"/>
      <c r="E88" s="79"/>
      <c r="F88" s="79"/>
    </row>
    <row r="89" spans="1:7" s="80" customFormat="1" ht="31.5" x14ac:dyDescent="0.2">
      <c r="A89" s="268" t="s">
        <v>298</v>
      </c>
      <c r="B89" s="87"/>
      <c r="C89" s="79"/>
      <c r="D89" s="79"/>
      <c r="E89" s="79"/>
      <c r="F89" s="79"/>
    </row>
    <row r="90" spans="1:7" s="77" customFormat="1" ht="31.5" x14ac:dyDescent="0.2">
      <c r="A90" s="268" t="s">
        <v>299</v>
      </c>
      <c r="B90" s="87"/>
      <c r="C90" s="256"/>
      <c r="D90" s="256"/>
      <c r="E90" s="256"/>
      <c r="F90" s="256"/>
    </row>
    <row r="91" spans="1:7" s="77" customFormat="1" ht="31.5" x14ac:dyDescent="0.2">
      <c r="A91" s="268" t="s">
        <v>300</v>
      </c>
      <c r="B91" s="87"/>
      <c r="C91" s="256"/>
      <c r="D91" s="256"/>
      <c r="E91" s="256"/>
      <c r="F91" s="256"/>
    </row>
    <row r="92" spans="1:7" s="77" customFormat="1" x14ac:dyDescent="0.2">
      <c r="A92" s="262" t="s">
        <v>301</v>
      </c>
      <c r="B92" s="215">
        <v>0</v>
      </c>
      <c r="C92" s="215">
        <v>0</v>
      </c>
      <c r="D92" s="215">
        <v>0</v>
      </c>
      <c r="E92" s="215">
        <v>0</v>
      </c>
      <c r="F92" s="215">
        <f>E92-D92</f>
        <v>0</v>
      </c>
      <c r="G92" s="83"/>
    </row>
    <row r="93" spans="1:7" s="77" customFormat="1" ht="31.5" x14ac:dyDescent="0.2">
      <c r="A93" s="262" t="s">
        <v>302</v>
      </c>
      <c r="B93" s="215">
        <v>544230</v>
      </c>
      <c r="C93" s="215">
        <v>544230</v>
      </c>
      <c r="D93" s="215">
        <v>544230</v>
      </c>
      <c r="E93" s="215">
        <f>544230+36000</f>
        <v>580230</v>
      </c>
      <c r="F93" s="215">
        <f t="shared" ref="F93:F94" si="5">E93-D93</f>
        <v>36000</v>
      </c>
    </row>
    <row r="94" spans="1:7" s="77" customFormat="1" x14ac:dyDescent="0.2">
      <c r="A94" s="262" t="s">
        <v>70</v>
      </c>
      <c r="B94" s="215">
        <f>B82+B79</f>
        <v>39085893</v>
      </c>
      <c r="C94" s="215">
        <f>C82+C79</f>
        <v>43438855</v>
      </c>
      <c r="D94" s="215">
        <f>D82+D79</f>
        <v>43438855</v>
      </c>
      <c r="E94" s="215">
        <f>E82+E79</f>
        <v>43474855</v>
      </c>
      <c r="F94" s="215">
        <f t="shared" si="5"/>
        <v>36000</v>
      </c>
    </row>
    <row r="95" spans="1:7" s="77" customFormat="1" ht="18.75" customHeight="1" x14ac:dyDescent="0.2">
      <c r="A95" s="262" t="s">
        <v>71</v>
      </c>
      <c r="B95" s="215">
        <f>B77+B94</f>
        <v>100091327</v>
      </c>
      <c r="C95" s="215">
        <f>C77+C94</f>
        <v>105732770</v>
      </c>
      <c r="D95" s="215">
        <f>D77+D94</f>
        <v>113676010</v>
      </c>
      <c r="E95" s="215">
        <f>E77+E94</f>
        <v>114475650</v>
      </c>
      <c r="F95" s="215">
        <f>E95-D95</f>
        <v>799640</v>
      </c>
    </row>
    <row r="96" spans="1:7" x14ac:dyDescent="0.25">
      <c r="A96" s="85" t="s">
        <v>224</v>
      </c>
      <c r="B96" s="86">
        <v>8</v>
      </c>
      <c r="C96" s="86">
        <v>8</v>
      </c>
      <c r="D96" s="86">
        <v>8</v>
      </c>
      <c r="E96" s="86">
        <v>8</v>
      </c>
      <c r="F96" s="85"/>
    </row>
    <row r="97" spans="1:6" x14ac:dyDescent="0.25">
      <c r="A97" s="5" t="s">
        <v>72</v>
      </c>
      <c r="B97" s="84">
        <v>1</v>
      </c>
      <c r="C97" s="84">
        <v>1</v>
      </c>
      <c r="D97" s="84">
        <v>1</v>
      </c>
      <c r="E97" s="84">
        <v>1</v>
      </c>
      <c r="F97" s="5"/>
    </row>
  </sheetData>
  <sheetProtection selectLockedCells="1" selectUnlockedCells="1"/>
  <mergeCells count="1">
    <mergeCell ref="A3:F3"/>
  </mergeCells>
  <phoneticPr fontId="19" type="noConversion"/>
  <printOptions horizontalCentered="1" gridLines="1"/>
  <pageMargins left="0.62992125984251968" right="0.43307086614173229" top="0.98425196850393704" bottom="0.23622047244094491" header="0.27559055118110237" footer="0.51181102362204722"/>
  <pageSetup paperSize="9" scale="74" firstPageNumber="0" fitToHeight="0" orientation="portrait" r:id="rId1"/>
  <headerFooter alignWithMargins="0">
    <oddHeader>&amp;L&amp;"Times New Roman,Normál"&amp;12Pécsely Község Önkormányzata
&amp;C&amp;"Times New Roman,Félkövér"&amp;12 2. melléklet
Az önkormányzat 2018. évi költségvetéséről szóló .../2018. (.....) önkormányzati rendelet tervezethez</oddHeader>
  </headerFooter>
  <rowBreaks count="2" manualBreakCount="2">
    <brk id="30" max="3" man="1"/>
    <brk id="6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topLeftCell="A10" zoomScaleNormal="100" workbookViewId="0">
      <selection activeCell="H47" sqref="H47"/>
    </sheetView>
  </sheetViews>
  <sheetFormatPr defaultColWidth="9.140625" defaultRowHeight="15.75" x14ac:dyDescent="0.25"/>
  <cols>
    <col min="1" max="1" width="97.42578125" style="49" bestFit="1" customWidth="1"/>
    <col min="2" max="2" width="10" style="49" customWidth="1"/>
    <col min="3" max="3" width="9.7109375" style="49" customWidth="1"/>
    <col min="4" max="4" width="12.85546875" style="49" bestFit="1" customWidth="1"/>
    <col min="5" max="5" width="14.28515625" style="49" customWidth="1"/>
    <col min="6" max="8" width="15.28515625" style="49" customWidth="1"/>
    <col min="9" max="9" width="10.85546875" style="49" bestFit="1" customWidth="1"/>
    <col min="10" max="10" width="9.140625" style="49"/>
    <col min="11" max="11" width="11.28515625" style="49" bestFit="1" customWidth="1"/>
    <col min="12" max="16384" width="9.140625" style="49"/>
  </cols>
  <sheetData>
    <row r="1" spans="1:9" x14ac:dyDescent="0.25">
      <c r="A1" s="301" t="s">
        <v>347</v>
      </c>
      <c r="B1" s="301"/>
      <c r="C1" s="301"/>
      <c r="D1" s="301"/>
      <c r="E1" s="301"/>
      <c r="F1" s="301"/>
      <c r="G1" s="301"/>
      <c r="H1" s="301"/>
      <c r="I1" s="301"/>
    </row>
    <row r="3" spans="1:9" ht="15.75" customHeight="1" x14ac:dyDescent="0.25">
      <c r="A3" s="304" t="s">
        <v>213</v>
      </c>
      <c r="B3" s="305" t="s">
        <v>341</v>
      </c>
      <c r="C3" s="304" t="s">
        <v>342</v>
      </c>
      <c r="D3" s="306" t="s">
        <v>343</v>
      </c>
      <c r="E3" s="303" t="s">
        <v>379</v>
      </c>
      <c r="F3" s="302" t="s">
        <v>376</v>
      </c>
      <c r="G3" s="302" t="s">
        <v>392</v>
      </c>
      <c r="H3" s="302" t="s">
        <v>401</v>
      </c>
      <c r="I3" s="302" t="s">
        <v>377</v>
      </c>
    </row>
    <row r="4" spans="1:9" ht="19.5" customHeight="1" x14ac:dyDescent="0.25">
      <c r="A4" s="304"/>
      <c r="B4" s="305"/>
      <c r="C4" s="304"/>
      <c r="D4" s="306"/>
      <c r="E4" s="303"/>
      <c r="F4" s="302"/>
      <c r="G4" s="302"/>
      <c r="H4" s="302"/>
      <c r="I4" s="302"/>
    </row>
    <row r="5" spans="1:9" x14ac:dyDescent="0.25">
      <c r="A5" s="50" t="s">
        <v>219</v>
      </c>
      <c r="B5" s="50"/>
      <c r="C5" s="51"/>
      <c r="D5" s="52"/>
      <c r="E5" s="231">
        <f>E6+E28</f>
        <v>18803564</v>
      </c>
      <c r="F5" s="231">
        <f>F6+F28</f>
        <v>18803564</v>
      </c>
      <c r="G5" s="231">
        <f>G6+G28</f>
        <v>18803564</v>
      </c>
      <c r="H5" s="231">
        <f>H6+H28</f>
        <v>18803564</v>
      </c>
      <c r="I5" s="252">
        <f>F5-E5</f>
        <v>0</v>
      </c>
    </row>
    <row r="6" spans="1:9" x14ac:dyDescent="0.25">
      <c r="A6" s="50" t="s">
        <v>1</v>
      </c>
      <c r="B6" s="50"/>
      <c r="C6" s="51"/>
      <c r="D6" s="52"/>
      <c r="E6" s="231">
        <f>E7+E10+E20+E21+E23+E24+E26+E27+E30</f>
        <v>18803564</v>
      </c>
      <c r="F6" s="231">
        <f>F7+F10+F20+F21+F23+F24+F26+F27+F30</f>
        <v>18803564</v>
      </c>
      <c r="G6" s="231">
        <f>G7+G10+G20+G21+G23+G24+G26+G27+G30</f>
        <v>18803564</v>
      </c>
      <c r="H6" s="231">
        <f>H7+H10+H20+H21+H23+H24+H26+H27+H30</f>
        <v>18803564</v>
      </c>
      <c r="I6" s="252">
        <f t="shared" ref="I6:I51" si="0">F6-E6</f>
        <v>0</v>
      </c>
    </row>
    <row r="7" spans="1:9" x14ac:dyDescent="0.25">
      <c r="A7" s="50" t="s">
        <v>73</v>
      </c>
      <c r="B7" s="50"/>
      <c r="C7" s="53"/>
      <c r="D7" s="52"/>
      <c r="E7" s="233">
        <f>E8</f>
        <v>0</v>
      </c>
      <c r="F7" s="233">
        <f>F8</f>
        <v>0</v>
      </c>
      <c r="G7" s="233">
        <f>G8</f>
        <v>0</v>
      </c>
      <c r="H7" s="233">
        <f>H8</f>
        <v>0</v>
      </c>
      <c r="I7" s="252">
        <f t="shared" si="0"/>
        <v>0</v>
      </c>
    </row>
    <row r="8" spans="1:9" x14ac:dyDescent="0.25">
      <c r="A8" s="56" t="s">
        <v>74</v>
      </c>
      <c r="B8" s="50"/>
      <c r="C8" s="54">
        <v>39.39</v>
      </c>
      <c r="D8" s="55">
        <v>4580000</v>
      </c>
      <c r="E8" s="234">
        <v>0</v>
      </c>
      <c r="F8" s="234">
        <v>0</v>
      </c>
      <c r="G8" s="234">
        <v>0</v>
      </c>
      <c r="H8" s="234">
        <v>0</v>
      </c>
      <c r="I8" s="241">
        <f t="shared" si="0"/>
        <v>0</v>
      </c>
    </row>
    <row r="9" spans="1:9" x14ac:dyDescent="0.25">
      <c r="A9" s="56" t="s">
        <v>76</v>
      </c>
      <c r="B9" s="50"/>
      <c r="C9" s="53"/>
      <c r="D9" s="52"/>
      <c r="E9" s="235">
        <v>0</v>
      </c>
      <c r="F9" s="232">
        <v>0</v>
      </c>
      <c r="G9" s="232">
        <v>0</v>
      </c>
      <c r="H9" s="232">
        <v>0</v>
      </c>
      <c r="I9" s="241">
        <f t="shared" si="0"/>
        <v>0</v>
      </c>
    </row>
    <row r="10" spans="1:9" x14ac:dyDescent="0.25">
      <c r="A10" s="236" t="s">
        <v>236</v>
      </c>
      <c r="B10" s="50"/>
      <c r="C10" s="53"/>
      <c r="D10" s="52"/>
      <c r="E10" s="233">
        <f>E11+E12+E13+E14+E15+E16+E17+E18</f>
        <v>12180243</v>
      </c>
      <c r="F10" s="233">
        <f>F11+F12+F13+F14+F15+F16+F17+F18</f>
        <v>12180243</v>
      </c>
      <c r="G10" s="233">
        <f>G11+G12+G13+G14+G15+G16+G17+G18</f>
        <v>12180243</v>
      </c>
      <c r="H10" s="233">
        <f>H11+H12+H13+H14+H15+H16+H17+H18</f>
        <v>12180243</v>
      </c>
      <c r="I10" s="252">
        <f t="shared" si="0"/>
        <v>0</v>
      </c>
    </row>
    <row r="11" spans="1:9" x14ac:dyDescent="0.25">
      <c r="A11" s="237" t="s">
        <v>75</v>
      </c>
      <c r="B11" s="50"/>
      <c r="C11" s="53"/>
      <c r="D11" s="55">
        <v>22300</v>
      </c>
      <c r="E11" s="234">
        <v>1601140</v>
      </c>
      <c r="F11" s="234">
        <v>1601140</v>
      </c>
      <c r="G11" s="234">
        <v>1601140</v>
      </c>
      <c r="H11" s="234">
        <v>1601140</v>
      </c>
      <c r="I11" s="241">
        <f t="shared" si="0"/>
        <v>0</v>
      </c>
    </row>
    <row r="12" spans="1:9" x14ac:dyDescent="0.25">
      <c r="A12" s="237" t="s">
        <v>76</v>
      </c>
      <c r="B12" s="50"/>
      <c r="C12" s="53"/>
      <c r="D12" s="52"/>
      <c r="E12" s="235">
        <v>0</v>
      </c>
      <c r="F12" s="235">
        <v>0</v>
      </c>
      <c r="G12" s="235">
        <v>0</v>
      </c>
      <c r="H12" s="235">
        <v>0</v>
      </c>
      <c r="I12" s="241">
        <f t="shared" si="0"/>
        <v>0</v>
      </c>
    </row>
    <row r="13" spans="1:9" x14ac:dyDescent="0.25">
      <c r="A13" s="237" t="s">
        <v>77</v>
      </c>
      <c r="B13" s="50"/>
      <c r="C13" s="51"/>
      <c r="D13" s="52"/>
      <c r="E13" s="234">
        <v>9312000</v>
      </c>
      <c r="F13" s="234">
        <v>9312000</v>
      </c>
      <c r="G13" s="234">
        <v>9312000</v>
      </c>
      <c r="H13" s="234">
        <v>9312000</v>
      </c>
      <c r="I13" s="241">
        <f t="shared" si="0"/>
        <v>0</v>
      </c>
    </row>
    <row r="14" spans="1:9" x14ac:dyDescent="0.25">
      <c r="A14" s="237" t="s">
        <v>76</v>
      </c>
      <c r="B14" s="50"/>
      <c r="C14" s="51"/>
      <c r="D14" s="52"/>
      <c r="E14" s="235">
        <v>0</v>
      </c>
      <c r="F14" s="235">
        <v>0</v>
      </c>
      <c r="G14" s="235">
        <v>0</v>
      </c>
      <c r="H14" s="235">
        <v>0</v>
      </c>
      <c r="I14" s="241">
        <f t="shared" si="0"/>
        <v>0</v>
      </c>
    </row>
    <row r="15" spans="1:9" x14ac:dyDescent="0.25">
      <c r="A15" s="237" t="s">
        <v>78</v>
      </c>
      <c r="B15" s="50"/>
      <c r="C15" s="51"/>
      <c r="D15" s="52"/>
      <c r="E15" s="234">
        <v>188853</v>
      </c>
      <c r="F15" s="234">
        <v>188853</v>
      </c>
      <c r="G15" s="234">
        <v>188853</v>
      </c>
      <c r="H15" s="234">
        <v>188853</v>
      </c>
      <c r="I15" s="241">
        <f t="shared" si="0"/>
        <v>0</v>
      </c>
    </row>
    <row r="16" spans="1:9" x14ac:dyDescent="0.25">
      <c r="A16" s="237"/>
      <c r="B16" s="50"/>
      <c r="C16" s="51"/>
      <c r="D16" s="52"/>
      <c r="E16" s="232">
        <v>0</v>
      </c>
      <c r="F16" s="232">
        <v>0</v>
      </c>
      <c r="G16" s="232">
        <v>0</v>
      </c>
      <c r="H16" s="232">
        <v>0</v>
      </c>
      <c r="I16" s="241">
        <f t="shared" si="0"/>
        <v>0</v>
      </c>
    </row>
    <row r="17" spans="1:11" x14ac:dyDescent="0.25">
      <c r="A17" s="237" t="s">
        <v>79</v>
      </c>
      <c r="B17" s="50"/>
      <c r="C17" s="51"/>
      <c r="D17" s="52"/>
      <c r="E17" s="234">
        <v>1078250</v>
      </c>
      <c r="F17" s="234">
        <v>1078250</v>
      </c>
      <c r="G17" s="234">
        <v>1078250</v>
      </c>
      <c r="H17" s="234">
        <v>1078250</v>
      </c>
      <c r="I17" s="241">
        <f t="shared" si="0"/>
        <v>0</v>
      </c>
    </row>
    <row r="18" spans="1:11" x14ac:dyDescent="0.25">
      <c r="A18" s="237" t="s">
        <v>76</v>
      </c>
      <c r="B18" s="50"/>
      <c r="C18" s="51"/>
      <c r="D18" s="52"/>
      <c r="E18" s="234">
        <v>0</v>
      </c>
      <c r="F18" s="234">
        <v>0</v>
      </c>
      <c r="G18" s="234">
        <v>0</v>
      </c>
      <c r="H18" s="234">
        <v>0</v>
      </c>
      <c r="I18" s="241">
        <f t="shared" si="0"/>
        <v>0</v>
      </c>
    </row>
    <row r="19" spans="1:11" x14ac:dyDescent="0.25">
      <c r="A19" s="50" t="s">
        <v>237</v>
      </c>
      <c r="B19" s="50"/>
      <c r="C19" s="51"/>
      <c r="D19" s="52"/>
      <c r="E19" s="231">
        <f>E20+E21</f>
        <v>4348521</v>
      </c>
      <c r="F19" s="231">
        <f>F20+F21</f>
        <v>4348521</v>
      </c>
      <c r="G19" s="231">
        <f>G20+G21</f>
        <v>4348521</v>
      </c>
      <c r="H19" s="231">
        <f>H20+H21</f>
        <v>4348521</v>
      </c>
      <c r="I19" s="252">
        <f t="shared" si="0"/>
        <v>0</v>
      </c>
    </row>
    <row r="20" spans="1:11" x14ac:dyDescent="0.25">
      <c r="A20" s="56" t="s">
        <v>216</v>
      </c>
      <c r="B20" s="56"/>
      <c r="C20" s="56"/>
      <c r="D20" s="55">
        <v>2700</v>
      </c>
      <c r="E20" s="234">
        <v>5000000</v>
      </c>
      <c r="F20" s="234">
        <v>5000000</v>
      </c>
      <c r="G20" s="234">
        <v>5000000</v>
      </c>
      <c r="H20" s="234">
        <v>5000000</v>
      </c>
      <c r="I20" s="241">
        <f t="shared" si="0"/>
        <v>0</v>
      </c>
    </row>
    <row r="21" spans="1:11" x14ac:dyDescent="0.25">
      <c r="A21" s="237" t="s">
        <v>76</v>
      </c>
      <c r="B21" s="50"/>
      <c r="C21" s="57"/>
      <c r="D21" s="55">
        <v>2700</v>
      </c>
      <c r="E21" s="234">
        <v>-651479</v>
      </c>
      <c r="F21" s="234">
        <v>-651479</v>
      </c>
      <c r="G21" s="234">
        <v>-651479</v>
      </c>
      <c r="H21" s="234">
        <v>-651479</v>
      </c>
      <c r="I21" s="241">
        <f t="shared" si="0"/>
        <v>0</v>
      </c>
    </row>
    <row r="22" spans="1:11" x14ac:dyDescent="0.25">
      <c r="A22" s="50" t="s">
        <v>238</v>
      </c>
      <c r="B22" s="50"/>
      <c r="C22" s="57"/>
      <c r="D22" s="55"/>
      <c r="E22" s="233">
        <f>E23+E24</f>
        <v>102000</v>
      </c>
      <c r="F22" s="233">
        <f>F23+F24</f>
        <v>102000</v>
      </c>
      <c r="G22" s="233">
        <f>G23+G24</f>
        <v>102000</v>
      </c>
      <c r="H22" s="233">
        <f>H23+H24</f>
        <v>102000</v>
      </c>
      <c r="I22" s="252">
        <f t="shared" si="0"/>
        <v>0</v>
      </c>
    </row>
    <row r="23" spans="1:11" x14ac:dyDescent="0.25">
      <c r="A23" s="56" t="s">
        <v>80</v>
      </c>
      <c r="B23" s="55">
        <v>2550</v>
      </c>
      <c r="C23" s="57"/>
      <c r="D23" s="55"/>
      <c r="E23" s="238">
        <v>102000</v>
      </c>
      <c r="F23" s="238">
        <v>102000</v>
      </c>
      <c r="G23" s="238">
        <v>102000</v>
      </c>
      <c r="H23" s="238">
        <v>102000</v>
      </c>
      <c r="I23" s="241">
        <f t="shared" si="0"/>
        <v>0</v>
      </c>
    </row>
    <row r="24" spans="1:11" x14ac:dyDescent="0.25">
      <c r="A24" s="237" t="s">
        <v>76</v>
      </c>
      <c r="B24" s="50"/>
      <c r="C24" s="51"/>
      <c r="D24" s="58"/>
      <c r="E24" s="57">
        <v>0</v>
      </c>
      <c r="F24" s="57">
        <v>0</v>
      </c>
      <c r="G24" s="57">
        <v>0</v>
      </c>
      <c r="H24" s="57">
        <v>0</v>
      </c>
      <c r="I24" s="241">
        <f t="shared" si="0"/>
        <v>0</v>
      </c>
    </row>
    <row r="25" spans="1:11" x14ac:dyDescent="0.25">
      <c r="A25" s="239" t="s">
        <v>239</v>
      </c>
      <c r="B25" s="50"/>
      <c r="C25" s="57"/>
      <c r="D25" s="55"/>
      <c r="E25" s="240">
        <f>SUM(E26:E27)</f>
        <v>1002400</v>
      </c>
      <c r="F25" s="240">
        <f>SUM(F26:F27)</f>
        <v>1002400</v>
      </c>
      <c r="G25" s="240">
        <f>SUM(G26:G27)</f>
        <v>1002400</v>
      </c>
      <c r="H25" s="240">
        <f>SUM(H26:H27)</f>
        <v>1002400</v>
      </c>
      <c r="I25" s="252">
        <f t="shared" si="0"/>
        <v>0</v>
      </c>
      <c r="K25" s="65"/>
    </row>
    <row r="26" spans="1:11" x14ac:dyDescent="0.25">
      <c r="A26" s="232" t="s">
        <v>240</v>
      </c>
      <c r="B26" s="50"/>
      <c r="C26" s="57"/>
      <c r="D26" s="55"/>
      <c r="E26" s="241">
        <v>1002400</v>
      </c>
      <c r="F26" s="241">
        <v>1002400</v>
      </c>
      <c r="G26" s="241">
        <v>1002400</v>
      </c>
      <c r="H26" s="241">
        <v>1002400</v>
      </c>
      <c r="I26" s="241">
        <f t="shared" si="0"/>
        <v>0</v>
      </c>
    </row>
    <row r="27" spans="1:11" x14ac:dyDescent="0.25">
      <c r="A27" s="237" t="s">
        <v>76</v>
      </c>
      <c r="B27" s="50"/>
      <c r="C27" s="57"/>
      <c r="D27" s="55"/>
      <c r="E27" s="234">
        <v>0</v>
      </c>
      <c r="F27" s="234">
        <v>0</v>
      </c>
      <c r="G27" s="234">
        <v>0</v>
      </c>
      <c r="H27" s="234">
        <v>0</v>
      </c>
      <c r="I27" s="241">
        <f t="shared" si="0"/>
        <v>0</v>
      </c>
    </row>
    <row r="28" spans="1:11" s="60" customFormat="1" x14ac:dyDescent="0.25">
      <c r="A28" s="242" t="s">
        <v>360</v>
      </c>
      <c r="B28" s="210"/>
      <c r="C28" s="210"/>
      <c r="D28" s="210"/>
      <c r="E28" s="243">
        <v>0</v>
      </c>
      <c r="F28" s="243">
        <v>0</v>
      </c>
      <c r="G28" s="243">
        <v>0</v>
      </c>
      <c r="H28" s="243">
        <v>0</v>
      </c>
      <c r="I28" s="241">
        <f t="shared" si="0"/>
        <v>0</v>
      </c>
    </row>
    <row r="29" spans="1:11" s="60" customFormat="1" x14ac:dyDescent="0.25">
      <c r="A29" s="245"/>
      <c r="B29" s="51"/>
      <c r="C29" s="51"/>
      <c r="D29" s="51"/>
      <c r="E29" s="197"/>
      <c r="F29" s="244"/>
      <c r="G29" s="244"/>
      <c r="H29" s="244"/>
      <c r="I29" s="241">
        <f t="shared" si="0"/>
        <v>0</v>
      </c>
    </row>
    <row r="30" spans="1:11" s="60" customFormat="1" x14ac:dyDescent="0.25">
      <c r="A30" s="245" t="s">
        <v>361</v>
      </c>
      <c r="B30" s="51"/>
      <c r="C30" s="51"/>
      <c r="D30" s="51"/>
      <c r="E30" s="197">
        <v>1170400</v>
      </c>
      <c r="F30" s="197">
        <v>1170400</v>
      </c>
      <c r="G30" s="197">
        <v>1170400</v>
      </c>
      <c r="H30" s="197">
        <v>1170400</v>
      </c>
      <c r="I30" s="252">
        <f t="shared" si="0"/>
        <v>0</v>
      </c>
    </row>
    <row r="31" spans="1:11" s="60" customFormat="1" x14ac:dyDescent="0.25">
      <c r="A31" s="246"/>
      <c r="B31" s="57"/>
      <c r="C31" s="57"/>
      <c r="D31" s="57"/>
      <c r="E31" s="247"/>
      <c r="F31" s="244"/>
      <c r="G31" s="244"/>
      <c r="H31" s="244"/>
      <c r="I31" s="241">
        <f t="shared" si="0"/>
        <v>0</v>
      </c>
    </row>
    <row r="32" spans="1:11" x14ac:dyDescent="0.25">
      <c r="A32" s="50" t="s">
        <v>241</v>
      </c>
      <c r="B32" s="50"/>
      <c r="C32" s="57"/>
      <c r="D32" s="55"/>
      <c r="E32" s="232">
        <v>0</v>
      </c>
      <c r="F32" s="232">
        <v>0</v>
      </c>
      <c r="G32" s="232">
        <v>0</v>
      </c>
      <c r="H32" s="232">
        <v>0</v>
      </c>
      <c r="I32" s="241">
        <f t="shared" si="0"/>
        <v>0</v>
      </c>
    </row>
    <row r="33" spans="1:9" x14ac:dyDescent="0.25">
      <c r="A33" s="232"/>
      <c r="B33" s="56"/>
      <c r="C33" s="56"/>
      <c r="D33" s="55"/>
      <c r="E33" s="232"/>
      <c r="F33" s="232"/>
      <c r="G33" s="232"/>
      <c r="H33" s="232"/>
      <c r="I33" s="241">
        <f t="shared" si="0"/>
        <v>0</v>
      </c>
    </row>
    <row r="34" spans="1:9" x14ac:dyDescent="0.25">
      <c r="A34" s="50" t="s">
        <v>220</v>
      </c>
      <c r="B34" s="50"/>
      <c r="C34" s="57"/>
      <c r="D34" s="55"/>
      <c r="E34" s="52">
        <f>E36+E37+E39</f>
        <v>7687440</v>
      </c>
      <c r="F34" s="52">
        <f>F35+F36+F37+F39</f>
        <v>7731327</v>
      </c>
      <c r="G34" s="52">
        <f>G35+G36+G37+G39</f>
        <v>7753194</v>
      </c>
      <c r="H34" s="52">
        <f>H35+H36+H37+H39</f>
        <v>7775061</v>
      </c>
      <c r="I34" s="252">
        <f>H34-G34</f>
        <v>21867</v>
      </c>
    </row>
    <row r="35" spans="1:9" x14ac:dyDescent="0.25">
      <c r="A35" s="50" t="s">
        <v>362</v>
      </c>
      <c r="B35" s="50"/>
      <c r="C35" s="57"/>
      <c r="D35" s="55"/>
      <c r="E35" s="52">
        <v>0</v>
      </c>
      <c r="F35" s="52">
        <v>43887</v>
      </c>
      <c r="G35" s="52">
        <f>43887+21867</f>
        <v>65754</v>
      </c>
      <c r="H35" s="52">
        <f>43887+21867+21867</f>
        <v>87621</v>
      </c>
      <c r="I35" s="252">
        <f>H35-G35</f>
        <v>21867</v>
      </c>
    </row>
    <row r="36" spans="1:9" x14ac:dyDescent="0.25">
      <c r="A36" s="50" t="s">
        <v>363</v>
      </c>
      <c r="B36" s="50"/>
      <c r="C36" s="57"/>
      <c r="D36" s="55"/>
      <c r="E36" s="52">
        <v>3704000</v>
      </c>
      <c r="F36" s="52">
        <v>3704000</v>
      </c>
      <c r="G36" s="52">
        <v>3704000</v>
      </c>
      <c r="H36" s="52">
        <v>3704000</v>
      </c>
      <c r="I36" s="252">
        <f t="shared" ref="I36:I37" si="1">G36-F36</f>
        <v>0</v>
      </c>
    </row>
    <row r="37" spans="1:9" x14ac:dyDescent="0.25">
      <c r="A37" s="50" t="s">
        <v>364</v>
      </c>
      <c r="B37" s="56"/>
      <c r="C37" s="57"/>
      <c r="D37" s="55"/>
      <c r="E37" s="52">
        <f>E38</f>
        <v>3100000</v>
      </c>
      <c r="F37" s="52">
        <f>F38</f>
        <v>3100000</v>
      </c>
      <c r="G37" s="52">
        <f>G38</f>
        <v>3100000</v>
      </c>
      <c r="H37" s="52">
        <f>H38</f>
        <v>3100000</v>
      </c>
      <c r="I37" s="252">
        <f t="shared" si="1"/>
        <v>0</v>
      </c>
    </row>
    <row r="38" spans="1:9" x14ac:dyDescent="0.25">
      <c r="A38" s="56" t="s">
        <v>374</v>
      </c>
      <c r="B38" s="56"/>
      <c r="C38" s="57"/>
      <c r="D38" s="55"/>
      <c r="E38" s="55">
        <v>3100000</v>
      </c>
      <c r="F38" s="55">
        <v>3100000</v>
      </c>
      <c r="G38" s="55">
        <v>3100000</v>
      </c>
      <c r="H38" s="55">
        <v>3100000</v>
      </c>
      <c r="I38" s="241">
        <f>G38-F38</f>
        <v>0</v>
      </c>
    </row>
    <row r="39" spans="1:9" x14ac:dyDescent="0.25">
      <c r="A39" s="50" t="s">
        <v>366</v>
      </c>
      <c r="B39" s="50"/>
      <c r="C39" s="61"/>
      <c r="D39" s="52">
        <v>1632000</v>
      </c>
      <c r="E39" s="52">
        <f>E40+E41</f>
        <v>883440</v>
      </c>
      <c r="F39" s="52">
        <f>F40+F41</f>
        <v>883440</v>
      </c>
      <c r="G39" s="52">
        <f>G40+G41</f>
        <v>883440</v>
      </c>
      <c r="H39" s="52">
        <f>H40+H41</f>
        <v>883440</v>
      </c>
      <c r="I39" s="252">
        <f>G39-F39</f>
        <v>0</v>
      </c>
    </row>
    <row r="40" spans="1:9" x14ac:dyDescent="0.25">
      <c r="A40" s="56" t="s">
        <v>367</v>
      </c>
      <c r="B40" s="56"/>
      <c r="C40" s="56">
        <v>0.36</v>
      </c>
      <c r="D40" s="55">
        <v>1900000</v>
      </c>
      <c r="E40" s="55">
        <v>684000</v>
      </c>
      <c r="F40" s="55">
        <v>684000</v>
      </c>
      <c r="G40" s="55">
        <v>684000</v>
      </c>
      <c r="H40" s="55">
        <v>684000</v>
      </c>
      <c r="I40" s="241">
        <f>G40-F40</f>
        <v>0</v>
      </c>
    </row>
    <row r="41" spans="1:9" x14ac:dyDescent="0.25">
      <c r="A41" s="56" t="s">
        <v>368</v>
      </c>
      <c r="B41" s="56"/>
      <c r="C41" s="62"/>
      <c r="D41" s="55"/>
      <c r="E41" s="55">
        <v>199440</v>
      </c>
      <c r="F41" s="55">
        <v>199440</v>
      </c>
      <c r="G41" s="55">
        <v>199440</v>
      </c>
      <c r="H41" s="55">
        <v>199440</v>
      </c>
      <c r="I41" s="241">
        <f>G41-F41</f>
        <v>0</v>
      </c>
    </row>
    <row r="42" spans="1:9" x14ac:dyDescent="0.25">
      <c r="A42" s="56"/>
      <c r="B42" s="56"/>
      <c r="C42" s="56"/>
      <c r="D42" s="55"/>
      <c r="E42" s="232"/>
      <c r="F42" s="232"/>
      <c r="G42" s="232"/>
      <c r="H42" s="232"/>
      <c r="I42" s="241">
        <f t="shared" si="0"/>
        <v>0</v>
      </c>
    </row>
    <row r="43" spans="1:9" x14ac:dyDescent="0.25">
      <c r="A43" s="56"/>
      <c r="B43" s="56"/>
      <c r="C43" s="56"/>
      <c r="D43" s="55"/>
      <c r="E43" s="232"/>
      <c r="F43" s="232"/>
      <c r="G43" s="232"/>
      <c r="H43" s="232"/>
      <c r="I43" s="241">
        <f t="shared" si="0"/>
        <v>0</v>
      </c>
    </row>
    <row r="44" spans="1:9" x14ac:dyDescent="0.25">
      <c r="A44" s="51" t="s">
        <v>365</v>
      </c>
      <c r="B44" s="63"/>
      <c r="C44" s="63"/>
      <c r="D44" s="63"/>
      <c r="E44" s="240">
        <f>E45</f>
        <v>1800000</v>
      </c>
      <c r="F44" s="240">
        <f>F45</f>
        <v>1800000</v>
      </c>
      <c r="G44" s="240">
        <f>G45</f>
        <v>1800000</v>
      </c>
      <c r="H44" s="240">
        <f>H45</f>
        <v>1800000</v>
      </c>
      <c r="I44" s="252">
        <f>G44-F44</f>
        <v>0</v>
      </c>
    </row>
    <row r="45" spans="1:9" x14ac:dyDescent="0.25">
      <c r="A45" s="57" t="s">
        <v>369</v>
      </c>
      <c r="B45" s="57"/>
      <c r="C45" s="57"/>
      <c r="D45" s="55">
        <v>1210</v>
      </c>
      <c r="E45" s="238">
        <v>1800000</v>
      </c>
      <c r="F45" s="238">
        <v>1800000</v>
      </c>
      <c r="G45" s="238">
        <v>1800000</v>
      </c>
      <c r="H45" s="238">
        <v>1800000</v>
      </c>
      <c r="I45" s="241">
        <f>G45-F45</f>
        <v>0</v>
      </c>
    </row>
    <row r="46" spans="1:9" x14ac:dyDescent="0.25">
      <c r="A46" s="57"/>
      <c r="B46" s="57"/>
      <c r="C46" s="57"/>
      <c r="D46" s="55"/>
      <c r="E46" s="238"/>
      <c r="F46" s="238"/>
      <c r="G46" s="238"/>
      <c r="H46" s="238"/>
      <c r="I46" s="241"/>
    </row>
    <row r="47" spans="1:9" x14ac:dyDescent="0.25">
      <c r="A47" s="51" t="s">
        <v>389</v>
      </c>
      <c r="B47" s="57"/>
      <c r="C47" s="57"/>
      <c r="D47" s="55"/>
      <c r="E47" s="238">
        <v>0</v>
      </c>
      <c r="F47" s="240">
        <v>177800</v>
      </c>
      <c r="G47" s="240">
        <v>177800</v>
      </c>
      <c r="H47" s="240">
        <f>H48</f>
        <v>853440</v>
      </c>
      <c r="I47" s="252">
        <f>H47-G47</f>
        <v>675640</v>
      </c>
    </row>
    <row r="48" spans="1:9" x14ac:dyDescent="0.25">
      <c r="A48" s="57" t="s">
        <v>390</v>
      </c>
      <c r="B48" s="57"/>
      <c r="C48" s="57"/>
      <c r="D48" s="55"/>
      <c r="E48" s="238">
        <v>0</v>
      </c>
      <c r="F48" s="238">
        <v>177800</v>
      </c>
      <c r="G48" s="238">
        <v>177800</v>
      </c>
      <c r="H48" s="238">
        <f>177800+675640</f>
        <v>853440</v>
      </c>
      <c r="I48" s="241">
        <f>H48-G48</f>
        <v>675640</v>
      </c>
    </row>
    <row r="49" spans="1:9" x14ac:dyDescent="0.25">
      <c r="A49" s="232"/>
      <c r="B49" s="57"/>
      <c r="C49" s="57"/>
      <c r="D49" s="55"/>
      <c r="E49" s="125"/>
      <c r="F49" s="232"/>
      <c r="G49" s="232"/>
      <c r="H49" s="232"/>
      <c r="I49" s="241">
        <f t="shared" si="0"/>
        <v>0</v>
      </c>
    </row>
    <row r="50" spans="1:9" s="64" customFormat="1" x14ac:dyDescent="0.25">
      <c r="A50" s="245" t="s">
        <v>391</v>
      </c>
      <c r="B50" s="51"/>
      <c r="C50" s="51"/>
      <c r="D50" s="52"/>
      <c r="E50" s="239">
        <v>0</v>
      </c>
      <c r="F50" s="252">
        <v>83060</v>
      </c>
      <c r="G50" s="252">
        <v>83060</v>
      </c>
      <c r="H50" s="252">
        <v>83060</v>
      </c>
      <c r="I50" s="252">
        <f>G50-F50</f>
        <v>0</v>
      </c>
    </row>
    <row r="51" spans="1:9" s="64" customFormat="1" x14ac:dyDescent="0.25">
      <c r="A51" s="245"/>
      <c r="B51" s="51"/>
      <c r="C51" s="51"/>
      <c r="D51" s="52"/>
      <c r="E51" s="120"/>
      <c r="F51" s="232"/>
      <c r="G51" s="232"/>
      <c r="H51" s="232"/>
      <c r="I51" s="241">
        <f t="shared" si="0"/>
        <v>0</v>
      </c>
    </row>
    <row r="52" spans="1:9" x14ac:dyDescent="0.25">
      <c r="A52" s="50" t="s">
        <v>81</v>
      </c>
      <c r="B52" s="248"/>
      <c r="C52" s="248"/>
      <c r="D52" s="248"/>
      <c r="E52" s="240">
        <f>E44+E34+E32+E5+E50</f>
        <v>28291004</v>
      </c>
      <c r="F52" s="240">
        <f>F44+F34+F32+F5++F48+F50</f>
        <v>28595751</v>
      </c>
      <c r="G52" s="240">
        <f>G44+G34+G32+G5++G48+G50</f>
        <v>28617618</v>
      </c>
      <c r="H52" s="240">
        <f>H44+H34+H32+H5++H48+H50</f>
        <v>29315125</v>
      </c>
      <c r="I52" s="252">
        <f>G52-F52</f>
        <v>21867</v>
      </c>
    </row>
    <row r="53" spans="1:9" x14ac:dyDescent="0.25">
      <c r="E53" s="65">
        <f>E52</f>
        <v>28291004</v>
      </c>
      <c r="F53" s="65">
        <f>F52</f>
        <v>28595751</v>
      </c>
      <c r="G53" s="65">
        <f>G52</f>
        <v>28617618</v>
      </c>
      <c r="H53" s="65">
        <f>H52</f>
        <v>29315125</v>
      </c>
    </row>
    <row r="54" spans="1:9" x14ac:dyDescent="0.25">
      <c r="E54" s="65"/>
    </row>
  </sheetData>
  <mergeCells count="10">
    <mergeCell ref="A1:I1"/>
    <mergeCell ref="G3:G4"/>
    <mergeCell ref="I3:I4"/>
    <mergeCell ref="F3:F4"/>
    <mergeCell ref="E3:E4"/>
    <mergeCell ref="A3:A4"/>
    <mergeCell ref="B3:B4"/>
    <mergeCell ref="C3:C4"/>
    <mergeCell ref="D3:D4"/>
    <mergeCell ref="H3:H4"/>
  </mergeCells>
  <phoneticPr fontId="19" type="noConversion"/>
  <printOptions horizontalCentered="1" verticalCentered="1"/>
  <pageMargins left="0.70866141732283472" right="0.70866141732283472" top="0.94488188976377963" bottom="0.74803149606299213" header="0.51181102362204722" footer="0.31496062992125984"/>
  <pageSetup paperSize="9" scale="40" orientation="landscape" r:id="rId1"/>
  <headerFooter>
    <oddHeader>&amp;L&amp;"Times New Roman,Normál"&amp;12Pécsely Község Önkormányzata&amp;C&amp;"Times New Roman,Félkövér"&amp;12 2/a. melléklet
Az önkormányzat 2018. évi költségvetéséről szóló .../2018. (....) önkormányzati rendelet tervezethez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50"/>
  <sheetViews>
    <sheetView view="pageLayout" zoomScaleNormal="75" zoomScaleSheetLayoutView="80" workbookViewId="0">
      <selection activeCell="E25" sqref="E25"/>
    </sheetView>
  </sheetViews>
  <sheetFormatPr defaultColWidth="9.140625" defaultRowHeight="15.75" x14ac:dyDescent="0.25"/>
  <cols>
    <col min="1" max="1" width="45.85546875" style="42" bestFit="1" customWidth="1"/>
    <col min="2" max="6" width="15.7109375" style="42" customWidth="1"/>
    <col min="7" max="7" width="11.7109375" style="42" customWidth="1"/>
    <col min="8" max="8" width="10.140625" style="42" bestFit="1" customWidth="1"/>
    <col min="9" max="9" width="10.7109375" style="42" customWidth="1"/>
    <col min="10" max="16384" width="9.140625" style="42"/>
  </cols>
  <sheetData>
    <row r="1" spans="1:8" ht="9.75" customHeight="1" thickBot="1" x14ac:dyDescent="0.3"/>
    <row r="2" spans="1:8" ht="29.25" customHeight="1" x14ac:dyDescent="0.25">
      <c r="A2" s="307" t="s">
        <v>349</v>
      </c>
      <c r="B2" s="308"/>
      <c r="C2" s="308"/>
      <c r="D2" s="308"/>
      <c r="E2" s="308"/>
      <c r="F2" s="309"/>
    </row>
    <row r="3" spans="1:8" ht="16.5" thickBot="1" x14ac:dyDescent="0.3">
      <c r="A3" s="310"/>
      <c r="B3" s="311"/>
      <c r="C3" s="311"/>
      <c r="D3" s="311"/>
      <c r="E3" s="311"/>
      <c r="F3" s="312"/>
    </row>
    <row r="5" spans="1:8" ht="51.75" customHeight="1" x14ac:dyDescent="0.25">
      <c r="A5" s="272" t="s">
        <v>213</v>
      </c>
      <c r="B5" s="272" t="s">
        <v>375</v>
      </c>
      <c r="C5" s="272" t="s">
        <v>376</v>
      </c>
      <c r="D5" s="272" t="s">
        <v>392</v>
      </c>
      <c r="E5" s="272" t="s">
        <v>401</v>
      </c>
      <c r="F5" s="272" t="s">
        <v>377</v>
      </c>
    </row>
    <row r="6" spans="1:8" x14ac:dyDescent="0.25">
      <c r="A6" s="290" t="s">
        <v>244</v>
      </c>
      <c r="B6" s="43"/>
      <c r="C6" s="43"/>
      <c r="D6" s="43"/>
      <c r="E6" s="43"/>
      <c r="F6" s="43"/>
    </row>
    <row r="7" spans="1:8" x14ac:dyDescent="0.25">
      <c r="A7" s="291" t="s">
        <v>245</v>
      </c>
      <c r="B7" s="44">
        <v>17970857</v>
      </c>
      <c r="C7" s="44">
        <v>19118089</v>
      </c>
      <c r="D7" s="44">
        <f>19118089+300000</f>
        <v>19418089</v>
      </c>
      <c r="E7" s="44">
        <f>19118089+300000+80000</f>
        <v>19498089</v>
      </c>
      <c r="F7" s="44">
        <f>E7-D7</f>
        <v>80000</v>
      </c>
      <c r="H7" s="45"/>
    </row>
    <row r="8" spans="1:8" x14ac:dyDescent="0.25">
      <c r="A8" s="291" t="s">
        <v>246</v>
      </c>
      <c r="B8" s="44">
        <v>3557552</v>
      </c>
      <c r="C8" s="44">
        <v>3713552</v>
      </c>
      <c r="D8" s="44">
        <f>3713552+58500</f>
        <v>3772052</v>
      </c>
      <c r="E8" s="44">
        <f>3713552+58500+8000</f>
        <v>3780052</v>
      </c>
      <c r="F8" s="44">
        <f t="shared" ref="F8:F9" si="0">E8-D8</f>
        <v>8000</v>
      </c>
    </row>
    <row r="9" spans="1:8" x14ac:dyDescent="0.25">
      <c r="A9" s="291" t="s">
        <v>247</v>
      </c>
      <c r="B9" s="44">
        <f>SUM(B11:B28)</f>
        <v>30091000</v>
      </c>
      <c r="C9" s="44">
        <f>SUM(C11:C12,C13:C21,C22,C23:C25,C26:C28)</f>
        <v>30311320</v>
      </c>
      <c r="D9" s="44">
        <f>SUM(D11:D12,D13:D21,D22,D23:D25,D26:D28,D29)</f>
        <v>34333000</v>
      </c>
      <c r="E9" s="44">
        <f>SUM(E11:E12,E13:E21,E22,E23:E25,E26:E28,E29)</f>
        <v>35008640</v>
      </c>
      <c r="F9" s="44">
        <f t="shared" si="0"/>
        <v>675640</v>
      </c>
    </row>
    <row r="10" spans="1:8" x14ac:dyDescent="0.25">
      <c r="A10" s="292" t="s">
        <v>248</v>
      </c>
      <c r="B10" s="43"/>
      <c r="C10" s="43"/>
      <c r="D10" s="43"/>
      <c r="E10" s="43"/>
      <c r="F10" s="43"/>
    </row>
    <row r="11" spans="1:8" x14ac:dyDescent="0.25">
      <c r="A11" s="293" t="s">
        <v>256</v>
      </c>
      <c r="B11" s="43">
        <v>90000</v>
      </c>
      <c r="C11" s="43">
        <v>90000</v>
      </c>
      <c r="D11" s="43">
        <v>90000</v>
      </c>
      <c r="E11" s="43">
        <v>90000</v>
      </c>
      <c r="F11" s="43">
        <f>E11-D11</f>
        <v>0</v>
      </c>
    </row>
    <row r="12" spans="1:8" s="48" customFormat="1" x14ac:dyDescent="0.25">
      <c r="A12" s="294" t="s">
        <v>257</v>
      </c>
      <c r="B12" s="47">
        <v>2500000</v>
      </c>
      <c r="C12" s="47">
        <f>2500000+140000</f>
        <v>2640000</v>
      </c>
      <c r="D12" s="47">
        <f>2640000+19833</f>
        <v>2659833</v>
      </c>
      <c r="E12" s="47">
        <f>2659833+532000</f>
        <v>3191833</v>
      </c>
      <c r="F12" s="43">
        <f>E12-D12</f>
        <v>532000</v>
      </c>
      <c r="G12" s="42"/>
    </row>
    <row r="13" spans="1:8" x14ac:dyDescent="0.25">
      <c r="A13" s="293" t="s">
        <v>258</v>
      </c>
      <c r="B13" s="43">
        <v>0</v>
      </c>
      <c r="C13" s="43">
        <v>0</v>
      </c>
      <c r="D13" s="43">
        <v>0</v>
      </c>
      <c r="E13" s="43">
        <v>0</v>
      </c>
      <c r="F13" s="43">
        <f t="shared" ref="F13:F29" si="1">E13-D13</f>
        <v>0</v>
      </c>
    </row>
    <row r="14" spans="1:8" ht="15.75" customHeight="1" x14ac:dyDescent="0.25">
      <c r="A14" s="293" t="s">
        <v>259</v>
      </c>
      <c r="B14" s="43">
        <v>750000</v>
      </c>
      <c r="C14" s="43">
        <v>750000</v>
      </c>
      <c r="D14" s="43">
        <v>750000</v>
      </c>
      <c r="E14" s="43">
        <v>750000</v>
      </c>
      <c r="F14" s="43">
        <f t="shared" si="1"/>
        <v>0</v>
      </c>
      <c r="H14" s="45"/>
    </row>
    <row r="15" spans="1:8" x14ac:dyDescent="0.25">
      <c r="A15" s="293" t="s">
        <v>260</v>
      </c>
      <c r="B15" s="43">
        <v>750000</v>
      </c>
      <c r="C15" s="43">
        <v>750000</v>
      </c>
      <c r="D15" s="43">
        <v>750000</v>
      </c>
      <c r="E15" s="43">
        <v>750000</v>
      </c>
      <c r="F15" s="43">
        <f t="shared" si="1"/>
        <v>0</v>
      </c>
    </row>
    <row r="16" spans="1:8" x14ac:dyDescent="0.25">
      <c r="A16" s="293" t="s">
        <v>261</v>
      </c>
      <c r="B16" s="43">
        <v>4800000</v>
      </c>
      <c r="C16" s="43">
        <v>4800000</v>
      </c>
      <c r="D16" s="43">
        <v>4800000</v>
      </c>
      <c r="E16" s="43">
        <v>4800000</v>
      </c>
      <c r="F16" s="43">
        <f t="shared" si="1"/>
        <v>0</v>
      </c>
    </row>
    <row r="17" spans="1:8" x14ac:dyDescent="0.25">
      <c r="A17" s="293" t="s">
        <v>262</v>
      </c>
      <c r="B17" s="43">
        <v>1500000</v>
      </c>
      <c r="C17" s="43">
        <v>1500000</v>
      </c>
      <c r="D17" s="43">
        <v>1500000</v>
      </c>
      <c r="E17" s="43">
        <v>1500000</v>
      </c>
      <c r="F17" s="43">
        <f t="shared" si="1"/>
        <v>0</v>
      </c>
    </row>
    <row r="18" spans="1:8" x14ac:dyDescent="0.25">
      <c r="A18" s="293" t="s">
        <v>265</v>
      </c>
      <c r="B18" s="43">
        <v>0</v>
      </c>
      <c r="C18" s="43">
        <v>0</v>
      </c>
      <c r="D18" s="43">
        <v>0</v>
      </c>
      <c r="E18" s="43">
        <v>0</v>
      </c>
      <c r="F18" s="43">
        <f t="shared" si="1"/>
        <v>0</v>
      </c>
    </row>
    <row r="19" spans="1:8" x14ac:dyDescent="0.25">
      <c r="A19" s="293" t="s">
        <v>263</v>
      </c>
      <c r="B19" s="43">
        <v>1000000</v>
      </c>
      <c r="C19" s="43">
        <v>1000000</v>
      </c>
      <c r="D19" s="43">
        <v>1000000</v>
      </c>
      <c r="E19" s="43">
        <v>1000000</v>
      </c>
      <c r="F19" s="43">
        <f t="shared" si="1"/>
        <v>0</v>
      </c>
    </row>
    <row r="20" spans="1:8" x14ac:dyDescent="0.25">
      <c r="A20" s="293" t="s">
        <v>264</v>
      </c>
      <c r="B20" s="43">
        <v>3300000</v>
      </c>
      <c r="C20" s="43">
        <v>3300000</v>
      </c>
      <c r="D20" s="43">
        <v>3300000</v>
      </c>
      <c r="E20" s="43">
        <v>3300000</v>
      </c>
      <c r="F20" s="43">
        <f t="shared" si="1"/>
        <v>0</v>
      </c>
    </row>
    <row r="21" spans="1:8" s="48" customFormat="1" ht="31.5" x14ac:dyDescent="0.25">
      <c r="A21" s="294" t="s">
        <v>266</v>
      </c>
      <c r="B21" s="47">
        <v>2500000</v>
      </c>
      <c r="C21" s="43">
        <v>2500000</v>
      </c>
      <c r="D21" s="43">
        <v>2500000</v>
      </c>
      <c r="E21" s="43">
        <v>2500000</v>
      </c>
      <c r="F21" s="43">
        <f t="shared" si="1"/>
        <v>0</v>
      </c>
      <c r="G21" s="42"/>
    </row>
    <row r="22" spans="1:8" s="48" customFormat="1" x14ac:dyDescent="0.25">
      <c r="A22" s="294" t="s">
        <v>267</v>
      </c>
      <c r="B22" s="47">
        <v>5500000</v>
      </c>
      <c r="C22" s="47">
        <v>5500000</v>
      </c>
      <c r="D22" s="47">
        <v>5500000</v>
      </c>
      <c r="E22" s="47">
        <v>5500000</v>
      </c>
      <c r="F22" s="43">
        <f t="shared" si="1"/>
        <v>0</v>
      </c>
      <c r="G22" s="42"/>
    </row>
    <row r="23" spans="1:8" x14ac:dyDescent="0.25">
      <c r="A23" s="293" t="s">
        <v>268</v>
      </c>
      <c r="B23" s="43">
        <v>300000</v>
      </c>
      <c r="C23" s="43">
        <v>300000</v>
      </c>
      <c r="D23" s="43">
        <v>300000</v>
      </c>
      <c r="E23" s="43">
        <v>300000</v>
      </c>
      <c r="F23" s="43">
        <f t="shared" si="1"/>
        <v>0</v>
      </c>
    </row>
    <row r="24" spans="1:8" x14ac:dyDescent="0.25">
      <c r="A24" s="293" t="s">
        <v>269</v>
      </c>
      <c r="B24" s="43">
        <v>100000</v>
      </c>
      <c r="C24" s="43">
        <v>100000</v>
      </c>
      <c r="D24" s="43">
        <v>100000</v>
      </c>
      <c r="E24" s="43">
        <v>100000</v>
      </c>
      <c r="F24" s="43">
        <f t="shared" si="1"/>
        <v>0</v>
      </c>
    </row>
    <row r="25" spans="1:8" s="48" customFormat="1" ht="31.5" x14ac:dyDescent="0.25">
      <c r="A25" s="294" t="s">
        <v>270</v>
      </c>
      <c r="B25" s="47">
        <v>5000000</v>
      </c>
      <c r="C25" s="47">
        <f>5000000+37800</f>
        <v>5037800</v>
      </c>
      <c r="D25" s="47">
        <f>5037800+5355</f>
        <v>5043155</v>
      </c>
      <c r="E25" s="47">
        <f>5043155+143640</f>
        <v>5186795</v>
      </c>
      <c r="F25" s="43">
        <f t="shared" si="1"/>
        <v>143640</v>
      </c>
      <c r="G25" s="42"/>
    </row>
    <row r="26" spans="1:8" x14ac:dyDescent="0.25">
      <c r="A26" s="293" t="s">
        <v>271</v>
      </c>
      <c r="B26" s="43">
        <v>1050000</v>
      </c>
      <c r="C26" s="43">
        <f>1050000+42520</f>
        <v>1092520</v>
      </c>
      <c r="D26" s="43">
        <v>1092520</v>
      </c>
      <c r="E26" s="43">
        <v>1092520</v>
      </c>
      <c r="F26" s="43">
        <f t="shared" si="1"/>
        <v>0</v>
      </c>
    </row>
    <row r="27" spans="1:8" x14ac:dyDescent="0.25">
      <c r="A27" s="293" t="s">
        <v>303</v>
      </c>
      <c r="B27" s="43">
        <v>1000</v>
      </c>
      <c r="C27" s="43">
        <v>1000</v>
      </c>
      <c r="D27" s="43">
        <v>1000</v>
      </c>
      <c r="E27" s="43">
        <v>1000</v>
      </c>
      <c r="F27" s="43">
        <f t="shared" si="1"/>
        <v>0</v>
      </c>
    </row>
    <row r="28" spans="1:8" x14ac:dyDescent="0.25">
      <c r="A28" s="293" t="s">
        <v>272</v>
      </c>
      <c r="B28" s="43">
        <v>950000</v>
      </c>
      <c r="C28" s="43">
        <v>950000</v>
      </c>
      <c r="D28" s="43">
        <v>950000</v>
      </c>
      <c r="E28" s="43">
        <v>950000</v>
      </c>
      <c r="F28" s="43">
        <f t="shared" si="1"/>
        <v>0</v>
      </c>
    </row>
    <row r="29" spans="1:8" ht="31.5" x14ac:dyDescent="0.25">
      <c r="A29" s="293" t="s">
        <v>398</v>
      </c>
      <c r="B29" s="43">
        <v>0</v>
      </c>
      <c r="C29" s="43">
        <v>0</v>
      </c>
      <c r="D29" s="43">
        <v>3996492</v>
      </c>
      <c r="E29" s="43">
        <v>3996492</v>
      </c>
      <c r="F29" s="43">
        <f t="shared" si="1"/>
        <v>0</v>
      </c>
    </row>
    <row r="31" spans="1:8" x14ac:dyDescent="0.25">
      <c r="A31" s="290" t="s">
        <v>340</v>
      </c>
      <c r="B31" s="43"/>
      <c r="C31" s="43"/>
      <c r="D31" s="43"/>
      <c r="E31" s="43"/>
      <c r="F31" s="43"/>
    </row>
    <row r="32" spans="1:8" ht="31.5" x14ac:dyDescent="0.25">
      <c r="A32" s="295" t="s">
        <v>249</v>
      </c>
      <c r="B32" s="43">
        <f>'4. sz. tábla'!B5</f>
        <v>14733280</v>
      </c>
      <c r="C32" s="43">
        <f>'4. sz. tábla'!C5</f>
        <v>14733280</v>
      </c>
      <c r="D32" s="43">
        <f>'4. sz. tábla'!D5</f>
        <v>12370071</v>
      </c>
      <c r="E32" s="43">
        <f>'4. sz. tábla'!E5</f>
        <v>12370071</v>
      </c>
      <c r="F32" s="43">
        <f>E32-D32</f>
        <v>0</v>
      </c>
      <c r="H32" s="45"/>
    </row>
    <row r="33" spans="1:6" ht="31.5" x14ac:dyDescent="0.25">
      <c r="A33" s="295" t="s">
        <v>243</v>
      </c>
      <c r="B33" s="43">
        <f>'4. sz. tábla'!B14</f>
        <v>150000</v>
      </c>
      <c r="C33" s="43">
        <f>'4. sz. tábla'!C14</f>
        <v>150000</v>
      </c>
      <c r="D33" s="43">
        <f>'4. sz. tábla'!D14</f>
        <v>150000</v>
      </c>
      <c r="E33" s="43">
        <f>'4. sz. tábla'!E14</f>
        <v>150000</v>
      </c>
      <c r="F33" s="43">
        <f t="shared" ref="F33:F34" si="2">E33-D33</f>
        <v>0</v>
      </c>
    </row>
    <row r="34" spans="1:6" ht="31.5" x14ac:dyDescent="0.25">
      <c r="A34" s="295" t="s">
        <v>250</v>
      </c>
      <c r="B34" s="43">
        <v>27305</v>
      </c>
      <c r="C34" s="43">
        <v>27305</v>
      </c>
      <c r="D34" s="43">
        <v>27305</v>
      </c>
      <c r="E34" s="43">
        <v>27305</v>
      </c>
      <c r="F34" s="43">
        <f t="shared" si="2"/>
        <v>0</v>
      </c>
    </row>
    <row r="35" spans="1:6" x14ac:dyDescent="0.25">
      <c r="A35" s="290" t="s">
        <v>251</v>
      </c>
      <c r="B35" s="44">
        <f>SUM(B32:B34)</f>
        <v>14910585</v>
      </c>
      <c r="C35" s="44">
        <f>SUM(C32:C34)</f>
        <v>14910585</v>
      </c>
      <c r="D35" s="44">
        <f>SUM(D32:D34)</f>
        <v>12547376</v>
      </c>
      <c r="E35" s="44">
        <f>SUM(E32:E34)</f>
        <v>12547376</v>
      </c>
      <c r="F35" s="44">
        <f>E35-D35</f>
        <v>0</v>
      </c>
    </row>
    <row r="36" spans="1:6" ht="14.25" customHeight="1" x14ac:dyDescent="0.25"/>
    <row r="37" spans="1:6" x14ac:dyDescent="0.25">
      <c r="A37" s="290" t="s">
        <v>252</v>
      </c>
      <c r="B37" s="43"/>
      <c r="C37" s="43"/>
      <c r="D37" s="43"/>
      <c r="E37" s="43"/>
      <c r="F37" s="43"/>
    </row>
    <row r="38" spans="1:6" x14ac:dyDescent="0.25">
      <c r="A38" s="292" t="s">
        <v>89</v>
      </c>
      <c r="B38" s="43"/>
      <c r="C38" s="43"/>
      <c r="D38" s="43"/>
      <c r="E38" s="43"/>
      <c r="F38" s="43"/>
    </row>
    <row r="39" spans="1:6" x14ac:dyDescent="0.25">
      <c r="A39" s="292" t="s">
        <v>90</v>
      </c>
      <c r="B39" s="43"/>
      <c r="C39" s="43"/>
      <c r="D39" s="43"/>
      <c r="E39" s="43"/>
      <c r="F39" s="43"/>
    </row>
    <row r="40" spans="1:6" ht="31.5" x14ac:dyDescent="0.25">
      <c r="A40" s="292" t="s">
        <v>322</v>
      </c>
      <c r="B40" s="43">
        <v>3342000</v>
      </c>
      <c r="C40" s="43">
        <v>3342000</v>
      </c>
      <c r="D40" s="43">
        <v>3302000</v>
      </c>
      <c r="E40" s="43">
        <v>3302000</v>
      </c>
      <c r="F40" s="43">
        <f>E40-D40</f>
        <v>0</v>
      </c>
    </row>
    <row r="41" spans="1:6" x14ac:dyDescent="0.25">
      <c r="A41" s="292" t="s">
        <v>217</v>
      </c>
      <c r="B41" s="43"/>
      <c r="C41" s="43"/>
      <c r="D41" s="43"/>
      <c r="E41" s="43"/>
      <c r="F41" s="43"/>
    </row>
    <row r="42" spans="1:6" x14ac:dyDescent="0.25">
      <c r="A42" s="292" t="s">
        <v>290</v>
      </c>
      <c r="B42" s="43"/>
      <c r="C42" s="43"/>
      <c r="D42" s="43"/>
      <c r="E42" s="43"/>
      <c r="F42" s="43"/>
    </row>
    <row r="43" spans="1:6" x14ac:dyDescent="0.25">
      <c r="A43" s="292" t="s">
        <v>91</v>
      </c>
      <c r="B43" s="43">
        <v>20000</v>
      </c>
      <c r="C43" s="43">
        <v>20000</v>
      </c>
      <c r="D43" s="43">
        <v>60000</v>
      </c>
      <c r="E43" s="43">
        <v>60000</v>
      </c>
      <c r="F43" s="43">
        <f>E43-D43</f>
        <v>0</v>
      </c>
    </row>
    <row r="44" spans="1:6" x14ac:dyDescent="0.25">
      <c r="A44" s="292" t="s">
        <v>92</v>
      </c>
      <c r="B44" s="43"/>
      <c r="C44" s="43"/>
      <c r="D44" s="43"/>
      <c r="E44" s="43"/>
      <c r="F44" s="43"/>
    </row>
    <row r="45" spans="1:6" x14ac:dyDescent="0.25">
      <c r="A45" s="292" t="s">
        <v>253</v>
      </c>
      <c r="B45" s="43"/>
      <c r="C45" s="43"/>
      <c r="D45" s="43"/>
      <c r="E45" s="43"/>
      <c r="F45" s="43"/>
    </row>
    <row r="46" spans="1:6" x14ac:dyDescent="0.25">
      <c r="A46" s="292" t="s">
        <v>304</v>
      </c>
      <c r="B46" s="46">
        <v>342000</v>
      </c>
      <c r="C46" s="46">
        <v>342000</v>
      </c>
      <c r="D46" s="46">
        <v>342000</v>
      </c>
      <c r="E46" s="46">
        <v>342000</v>
      </c>
      <c r="F46" s="296">
        <f>E46-D46</f>
        <v>0</v>
      </c>
    </row>
    <row r="47" spans="1:6" ht="31.5" x14ac:dyDescent="0.25">
      <c r="A47" s="292" t="s">
        <v>273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</row>
    <row r="48" spans="1:6" x14ac:dyDescent="0.25">
      <c r="A48" s="290" t="s">
        <v>254</v>
      </c>
      <c r="B48" s="44">
        <f>SUM(B38:B47)</f>
        <v>3704000</v>
      </c>
      <c r="C48" s="44">
        <f>SUM(C38:C47)</f>
        <v>3704000</v>
      </c>
      <c r="D48" s="44">
        <f>SUM(D38:D47)</f>
        <v>3704000</v>
      </c>
      <c r="E48" s="44">
        <f>SUM(E38:E47)</f>
        <v>3704000</v>
      </c>
      <c r="F48" s="44">
        <f>E48-D48</f>
        <v>0</v>
      </c>
    </row>
    <row r="50" spans="1:6" x14ac:dyDescent="0.25">
      <c r="A50" s="290" t="s">
        <v>255</v>
      </c>
      <c r="B50" s="44">
        <f>B7+B8+B9+B35+B48</f>
        <v>70233994</v>
      </c>
      <c r="C50" s="44">
        <f>C7+C8+C9+C35+C48</f>
        <v>71757546</v>
      </c>
      <c r="D50" s="44">
        <f>D7+D8+D9+D35+D48</f>
        <v>73774517</v>
      </c>
      <c r="E50" s="44">
        <f>E7+E8+E9+E35+E48</f>
        <v>74538157</v>
      </c>
      <c r="F50" s="44">
        <f>E50-D50</f>
        <v>763640</v>
      </c>
    </row>
  </sheetData>
  <sheetProtection selectLockedCells="1" selectUnlockedCells="1"/>
  <mergeCells count="1">
    <mergeCell ref="A2:F3"/>
  </mergeCells>
  <phoneticPr fontId="19" type="noConversion"/>
  <printOptions horizontalCentered="1"/>
  <pageMargins left="0.70866141732283472" right="0.74803149606299213" top="1.1811023622047245" bottom="0.98425196850393704" header="0.51181102362204722" footer="0.51181102362204722"/>
  <pageSetup paperSize="9" scale="71" firstPageNumber="0" orientation="portrait" r:id="rId1"/>
  <headerFooter alignWithMargins="0">
    <oddHeader>&amp;L&amp;"Times New Roman,Normál"&amp;12Pécsely Község Önkormányzata&amp;C&amp;"Times New Roman,Félkövér"&amp;12 3. melléklet
Az önkormányzat 2018. évi költségvetéséről szóló .../2018. (.....) önkormányzati rendelet 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88"/>
  <sheetViews>
    <sheetView view="pageLayout" zoomScaleNormal="100" zoomScaleSheetLayoutView="80" workbookViewId="0">
      <selection sqref="A1:F1"/>
    </sheetView>
  </sheetViews>
  <sheetFormatPr defaultColWidth="9.140625" defaultRowHeight="15.75" customHeight="1" x14ac:dyDescent="0.25"/>
  <cols>
    <col min="1" max="1" width="56.7109375" style="27" customWidth="1"/>
    <col min="2" max="2" width="13.7109375" style="28" customWidth="1"/>
    <col min="3" max="5" width="14.42578125" style="29" customWidth="1"/>
    <col min="6" max="6" width="13.7109375" style="29" customWidth="1"/>
    <col min="7" max="7" width="10.28515625" style="28" customWidth="1"/>
    <col min="8" max="8" width="16.85546875" style="28" customWidth="1"/>
    <col min="9" max="9" width="15.7109375" style="28" customWidth="1"/>
    <col min="10" max="10" width="11.42578125" style="28" customWidth="1"/>
    <col min="11" max="11" width="11" style="28" customWidth="1"/>
    <col min="12" max="12" width="13.7109375" style="28" customWidth="1"/>
    <col min="13" max="13" width="16.28515625" style="28" customWidth="1"/>
    <col min="14" max="14" width="14.28515625" style="28" customWidth="1"/>
    <col min="15" max="15" width="13" style="28" customWidth="1"/>
    <col min="16" max="16" width="14.140625" style="28" customWidth="1"/>
    <col min="17" max="17" width="13.5703125" style="28" customWidth="1"/>
    <col min="18" max="16384" width="9.140625" style="28"/>
  </cols>
  <sheetData>
    <row r="1" spans="1:6" ht="39" customHeight="1" x14ac:dyDescent="0.25">
      <c r="A1" s="313" t="s">
        <v>349</v>
      </c>
      <c r="B1" s="313"/>
      <c r="C1" s="313"/>
      <c r="D1" s="313"/>
      <c r="E1" s="313"/>
      <c r="F1" s="313"/>
    </row>
    <row r="4" spans="1:6" s="19" customFormat="1" ht="63.75" customHeight="1" x14ac:dyDescent="0.2">
      <c r="A4" s="272" t="s">
        <v>213</v>
      </c>
      <c r="B4" s="4" t="s">
        <v>375</v>
      </c>
      <c r="C4" s="282" t="s">
        <v>376</v>
      </c>
      <c r="D4" s="282" t="s">
        <v>392</v>
      </c>
      <c r="E4" s="282" t="s">
        <v>401</v>
      </c>
      <c r="F4" s="282" t="s">
        <v>377</v>
      </c>
    </row>
    <row r="5" spans="1:6" s="19" customFormat="1" x14ac:dyDescent="0.2">
      <c r="A5" s="283" t="s">
        <v>305</v>
      </c>
      <c r="B5" s="33">
        <f>SUM(B6:B12)</f>
        <v>14733280</v>
      </c>
      <c r="C5" s="33">
        <f>SUM(C6:C13)</f>
        <v>14733280</v>
      </c>
      <c r="D5" s="33">
        <f>SUM(D6:D13)</f>
        <v>12370071</v>
      </c>
      <c r="E5" s="33">
        <f>SUM(E6:E13)</f>
        <v>12370071</v>
      </c>
      <c r="F5" s="33">
        <f>E5-D5</f>
        <v>0</v>
      </c>
    </row>
    <row r="6" spans="1:6" s="19" customFormat="1" ht="18" customHeight="1" x14ac:dyDescent="0.25">
      <c r="A6" s="284" t="s">
        <v>306</v>
      </c>
      <c r="B6" s="31">
        <v>7460005</v>
      </c>
      <c r="C6" s="31">
        <v>7460005</v>
      </c>
      <c r="D6" s="31">
        <v>5096796</v>
      </c>
      <c r="E6" s="31">
        <v>5096796</v>
      </c>
      <c r="F6" s="31">
        <f>E6-D6</f>
        <v>0</v>
      </c>
    </row>
    <row r="7" spans="1:6" s="19" customFormat="1" ht="18" customHeight="1" x14ac:dyDescent="0.25">
      <c r="A7" s="285" t="s">
        <v>307</v>
      </c>
      <c r="B7" s="31">
        <v>6161765</v>
      </c>
      <c r="C7" s="31">
        <v>6161765</v>
      </c>
      <c r="D7" s="31">
        <v>6161765</v>
      </c>
      <c r="E7" s="31">
        <v>6161765</v>
      </c>
      <c r="F7" s="31">
        <f>E7-D7</f>
        <v>0</v>
      </c>
    </row>
    <row r="8" spans="1:6" s="19" customFormat="1" ht="18" customHeight="1" x14ac:dyDescent="0.25">
      <c r="A8" s="285" t="s">
        <v>348</v>
      </c>
      <c r="B8" s="31"/>
      <c r="C8" s="282"/>
      <c r="D8" s="282"/>
      <c r="E8" s="282"/>
      <c r="F8" s="31"/>
    </row>
    <row r="9" spans="1:6" s="19" customFormat="1" x14ac:dyDescent="0.25">
      <c r="A9" s="284" t="s">
        <v>308</v>
      </c>
      <c r="B9" s="20"/>
      <c r="C9" s="282"/>
      <c r="D9" s="282"/>
      <c r="E9" s="282"/>
      <c r="F9" s="31"/>
    </row>
    <row r="10" spans="1:6" ht="16.5" customHeight="1" x14ac:dyDescent="0.25">
      <c r="A10" s="246" t="s">
        <v>309</v>
      </c>
      <c r="B10" s="31"/>
      <c r="C10" s="247"/>
      <c r="D10" s="247"/>
      <c r="E10" s="247"/>
      <c r="F10" s="31"/>
    </row>
    <row r="11" spans="1:6" ht="31.5" x14ac:dyDescent="0.25">
      <c r="A11" s="284" t="s">
        <v>329</v>
      </c>
      <c r="B11" s="31">
        <v>871510</v>
      </c>
      <c r="C11" s="31">
        <v>871510</v>
      </c>
      <c r="D11" s="31">
        <v>871510</v>
      </c>
      <c r="E11" s="31">
        <v>871510</v>
      </c>
      <c r="F11" s="31">
        <f>E11-D11</f>
        <v>0</v>
      </c>
    </row>
    <row r="12" spans="1:6" ht="16.5" customHeight="1" x14ac:dyDescent="0.25">
      <c r="A12" s="246" t="s">
        <v>345</v>
      </c>
      <c r="B12" s="31">
        <v>240000</v>
      </c>
      <c r="C12" s="31">
        <v>240000</v>
      </c>
      <c r="D12" s="31">
        <v>240000</v>
      </c>
      <c r="E12" s="31">
        <v>240000</v>
      </c>
      <c r="F12" s="31">
        <f>E12-D12</f>
        <v>0</v>
      </c>
    </row>
    <row r="13" spans="1:6" ht="16.5" customHeight="1" x14ac:dyDescent="0.25">
      <c r="A13" s="246" t="s">
        <v>357</v>
      </c>
      <c r="B13" s="31"/>
      <c r="C13" s="31"/>
      <c r="D13" s="31"/>
      <c r="E13" s="31"/>
      <c r="F13" s="31"/>
    </row>
    <row r="14" spans="1:6" ht="16.5" customHeight="1" x14ac:dyDescent="0.25">
      <c r="A14" s="283" t="s">
        <v>310</v>
      </c>
      <c r="B14" s="33">
        <f>SUM(B15:B16)</f>
        <v>150000</v>
      </c>
      <c r="C14" s="33">
        <f>SUM(C15:C17)</f>
        <v>150000</v>
      </c>
      <c r="D14" s="33">
        <f>SUM(D15:D17)</f>
        <v>150000</v>
      </c>
      <c r="E14" s="33">
        <f>SUM(E15:E17)</f>
        <v>150000</v>
      </c>
      <c r="F14" s="33">
        <f>E14-D14</f>
        <v>0</v>
      </c>
    </row>
    <row r="15" spans="1:6" ht="16.5" customHeight="1" x14ac:dyDescent="0.25">
      <c r="A15" s="286" t="s">
        <v>310</v>
      </c>
      <c r="B15" s="281">
        <v>100000</v>
      </c>
      <c r="C15" s="281">
        <v>70000</v>
      </c>
      <c r="D15" s="281">
        <v>70000</v>
      </c>
      <c r="E15" s="281">
        <v>70000</v>
      </c>
      <c r="F15" s="281">
        <f>E15-D15</f>
        <v>0</v>
      </c>
    </row>
    <row r="16" spans="1:6" ht="16.5" customHeight="1" x14ac:dyDescent="0.25">
      <c r="A16" s="287" t="s">
        <v>393</v>
      </c>
      <c r="B16" s="31">
        <v>50000</v>
      </c>
      <c r="C16" s="31">
        <v>50000</v>
      </c>
      <c r="D16" s="31">
        <v>50000</v>
      </c>
      <c r="E16" s="31">
        <v>50000</v>
      </c>
      <c r="F16" s="281">
        <f t="shared" ref="F16:F17" si="0">E16-D16</f>
        <v>0</v>
      </c>
    </row>
    <row r="17" spans="1:8" ht="31.5" x14ac:dyDescent="0.25">
      <c r="A17" s="284" t="s">
        <v>383</v>
      </c>
      <c r="B17" s="31">
        <v>0</v>
      </c>
      <c r="C17" s="31">
        <v>30000</v>
      </c>
      <c r="D17" s="31">
        <v>30000</v>
      </c>
      <c r="E17" s="31">
        <v>30000</v>
      </c>
      <c r="F17" s="281">
        <f t="shared" si="0"/>
        <v>0</v>
      </c>
    </row>
    <row r="18" spans="1:8" x14ac:dyDescent="0.25">
      <c r="A18" s="287" t="s">
        <v>311</v>
      </c>
      <c r="B18" s="31"/>
      <c r="C18" s="247"/>
      <c r="D18" s="247"/>
      <c r="E18" s="247"/>
      <c r="F18" s="247"/>
    </row>
    <row r="19" spans="1:8" ht="16.5" customHeight="1" x14ac:dyDescent="0.25">
      <c r="A19" s="287" t="s">
        <v>315</v>
      </c>
      <c r="B19" s="31"/>
      <c r="C19" s="247"/>
      <c r="D19" s="247"/>
      <c r="E19" s="247"/>
      <c r="F19" s="247"/>
    </row>
    <row r="20" spans="1:8" ht="16.5" customHeight="1" x14ac:dyDescent="0.25">
      <c r="A20" s="287" t="s">
        <v>312</v>
      </c>
      <c r="B20" s="31"/>
      <c r="C20" s="247"/>
      <c r="D20" s="247"/>
      <c r="E20" s="247"/>
      <c r="F20" s="247"/>
    </row>
    <row r="21" spans="1:8" ht="16.5" customHeight="1" x14ac:dyDescent="0.25">
      <c r="A21" s="287" t="s">
        <v>313</v>
      </c>
      <c r="B21" s="31"/>
      <c r="C21" s="247"/>
      <c r="D21" s="247"/>
      <c r="E21" s="247"/>
      <c r="F21" s="247"/>
      <c r="H21" s="34"/>
    </row>
    <row r="22" spans="1:8" ht="16.5" customHeight="1" x14ac:dyDescent="0.25">
      <c r="A22" s="287" t="s">
        <v>314</v>
      </c>
      <c r="B22" s="31"/>
      <c r="C22" s="247"/>
      <c r="D22" s="247"/>
      <c r="E22" s="247"/>
      <c r="F22" s="247"/>
    </row>
    <row r="23" spans="1:8" ht="16.5" customHeight="1" x14ac:dyDescent="0.25">
      <c r="A23" s="287"/>
      <c r="B23" s="31"/>
      <c r="C23" s="247"/>
      <c r="D23" s="247"/>
      <c r="E23" s="247"/>
      <c r="F23" s="247"/>
    </row>
    <row r="24" spans="1:8" ht="15" customHeight="1" x14ac:dyDescent="0.25">
      <c r="A24" s="246"/>
      <c r="B24" s="31"/>
      <c r="C24" s="247"/>
      <c r="D24" s="247"/>
      <c r="E24" s="247"/>
      <c r="F24" s="247"/>
    </row>
    <row r="25" spans="1:8" ht="15" customHeight="1" x14ac:dyDescent="0.25">
      <c r="A25" s="283" t="s">
        <v>83</v>
      </c>
      <c r="B25" s="33">
        <f>B14+B5</f>
        <v>14883280</v>
      </c>
      <c r="C25" s="33">
        <f>C14+C5</f>
        <v>14883280</v>
      </c>
      <c r="D25" s="33">
        <f>D14+D5</f>
        <v>12520071</v>
      </c>
      <c r="E25" s="33">
        <f>E14+E5</f>
        <v>12520071</v>
      </c>
      <c r="F25" s="33">
        <f>E25-D25</f>
        <v>0</v>
      </c>
    </row>
    <row r="26" spans="1:8" ht="15" customHeight="1" x14ac:dyDescent="0.25">
      <c r="A26" s="35"/>
      <c r="B26" s="21"/>
    </row>
    <row r="27" spans="1:8" ht="16.5" customHeight="1" x14ac:dyDescent="0.25">
      <c r="A27" s="35"/>
      <c r="B27" s="21"/>
    </row>
    <row r="28" spans="1:8" ht="16.5" customHeight="1" x14ac:dyDescent="0.25">
      <c r="A28" s="35"/>
      <c r="B28" s="21"/>
    </row>
    <row r="29" spans="1:8" ht="16.5" customHeight="1" x14ac:dyDescent="0.25">
      <c r="A29" s="35"/>
      <c r="B29" s="21"/>
    </row>
    <row r="30" spans="1:8" ht="16.5" customHeight="1" x14ac:dyDescent="0.25">
      <c r="A30" s="35"/>
      <c r="B30" s="21"/>
    </row>
    <row r="31" spans="1:8" ht="16.5" customHeight="1" x14ac:dyDescent="0.25">
      <c r="A31" s="35"/>
      <c r="B31" s="21"/>
    </row>
    <row r="32" spans="1:8" ht="16.5" customHeight="1" x14ac:dyDescent="0.25">
      <c r="A32" s="35"/>
      <c r="B32" s="21"/>
    </row>
    <row r="33" spans="1:2" ht="16.5" customHeight="1" x14ac:dyDescent="0.25">
      <c r="A33" s="35"/>
      <c r="B33" s="21"/>
    </row>
    <row r="34" spans="1:2" ht="16.5" customHeight="1" x14ac:dyDescent="0.25">
      <c r="A34" s="35"/>
      <c r="B34" s="21"/>
    </row>
    <row r="35" spans="1:2" ht="27.75" customHeight="1" x14ac:dyDescent="0.25">
      <c r="A35" s="35"/>
      <c r="B35" s="21"/>
    </row>
    <row r="36" spans="1:2" ht="29.25" customHeight="1" x14ac:dyDescent="0.25">
      <c r="A36" s="35"/>
      <c r="B36" s="21"/>
    </row>
    <row r="37" spans="1:2" ht="16.5" customHeight="1" x14ac:dyDescent="0.25">
      <c r="A37" s="35"/>
      <c r="B37" s="21"/>
    </row>
    <row r="38" spans="1:2" ht="16.5" customHeight="1" x14ac:dyDescent="0.25">
      <c r="A38" s="35"/>
      <c r="B38" s="21"/>
    </row>
    <row r="39" spans="1:2" ht="21" customHeight="1" x14ac:dyDescent="0.25">
      <c r="A39" s="35"/>
      <c r="B39" s="21"/>
    </row>
    <row r="40" spans="1:2" ht="16.5" customHeight="1" x14ac:dyDescent="0.25">
      <c r="A40" s="35"/>
      <c r="B40" s="21"/>
    </row>
    <row r="41" spans="1:2" ht="16.5" customHeight="1" x14ac:dyDescent="0.25">
      <c r="A41" s="35"/>
      <c r="B41" s="21"/>
    </row>
    <row r="42" spans="1:2" ht="18.75" customHeight="1" x14ac:dyDescent="0.25">
      <c r="A42" s="35"/>
      <c r="B42" s="21"/>
    </row>
    <row r="43" spans="1:2" ht="16.5" customHeight="1" x14ac:dyDescent="0.25">
      <c r="A43" s="35"/>
      <c r="B43" s="21"/>
    </row>
    <row r="44" spans="1:2" ht="18" customHeight="1" x14ac:dyDescent="0.25">
      <c r="A44" s="35"/>
      <c r="B44" s="21"/>
    </row>
    <row r="45" spans="1:2" ht="30" customHeight="1" x14ac:dyDescent="0.25">
      <c r="A45" s="36"/>
      <c r="B45" s="21"/>
    </row>
    <row r="46" spans="1:2" ht="17.25" customHeight="1" x14ac:dyDescent="0.25">
      <c r="A46" s="35"/>
      <c r="B46" s="21"/>
    </row>
    <row r="47" spans="1:2" ht="17.25" customHeight="1" x14ac:dyDescent="0.25">
      <c r="A47" s="35"/>
      <c r="B47" s="22"/>
    </row>
    <row r="48" spans="1:2" ht="17.25" customHeight="1" x14ac:dyDescent="0.25">
      <c r="A48" s="35"/>
      <c r="B48" s="22"/>
    </row>
    <row r="49" spans="1:5" s="19" customFormat="1" ht="63.75" customHeight="1" x14ac:dyDescent="0.2">
      <c r="A49" s="23"/>
      <c r="B49" s="16"/>
      <c r="C49" s="24"/>
      <c r="D49" s="24"/>
      <c r="E49" s="24"/>
    </row>
    <row r="50" spans="1:5" ht="29.25" customHeight="1" x14ac:dyDescent="0.25">
      <c r="A50" s="36"/>
      <c r="B50" s="21"/>
    </row>
    <row r="51" spans="1:5" ht="19.5" customHeight="1" x14ac:dyDescent="0.25">
      <c r="A51" s="36"/>
      <c r="B51" s="21"/>
    </row>
    <row r="52" spans="1:5" ht="18" customHeight="1" x14ac:dyDescent="0.25">
      <c r="A52" s="35"/>
      <c r="B52" s="21"/>
    </row>
    <row r="53" spans="1:5" ht="16.5" customHeight="1" x14ac:dyDescent="0.25">
      <c r="A53" s="36"/>
      <c r="B53" s="21"/>
    </row>
    <row r="54" spans="1:5" ht="18" customHeight="1" x14ac:dyDescent="0.25">
      <c r="A54" s="35"/>
      <c r="B54" s="21"/>
    </row>
    <row r="55" spans="1:5" ht="30" customHeight="1" x14ac:dyDescent="0.25">
      <c r="A55" s="36"/>
      <c r="B55" s="21"/>
    </row>
    <row r="56" spans="1:5" ht="18" customHeight="1" x14ac:dyDescent="0.25">
      <c r="A56" s="36"/>
      <c r="B56" s="21"/>
    </row>
    <row r="57" spans="1:5" ht="21" customHeight="1" x14ac:dyDescent="0.25">
      <c r="A57" s="1"/>
      <c r="B57" s="21"/>
    </row>
    <row r="58" spans="1:5" ht="18" customHeight="1" x14ac:dyDescent="0.25">
      <c r="A58" s="37"/>
      <c r="B58" s="21"/>
    </row>
    <row r="59" spans="1:5" x14ac:dyDescent="0.25">
      <c r="A59" s="37"/>
      <c r="B59" s="21"/>
    </row>
    <row r="60" spans="1:5" ht="15.75" customHeight="1" x14ac:dyDescent="0.25">
      <c r="A60" s="37"/>
      <c r="B60" s="21"/>
    </row>
    <row r="61" spans="1:5" ht="16.5" customHeight="1" x14ac:dyDescent="0.25">
      <c r="A61" s="37"/>
      <c r="B61" s="21"/>
    </row>
    <row r="62" spans="1:5" ht="18" customHeight="1" x14ac:dyDescent="0.25">
      <c r="A62" s="38"/>
      <c r="B62" s="21"/>
    </row>
    <row r="63" spans="1:5" ht="33" customHeight="1" x14ac:dyDescent="0.25">
      <c r="A63" s="37"/>
      <c r="B63" s="21"/>
    </row>
    <row r="64" spans="1:5" ht="15.75" customHeight="1" x14ac:dyDescent="0.25">
      <c r="A64" s="37"/>
      <c r="B64" s="21"/>
    </row>
    <row r="65" spans="1:2" ht="15.75" customHeight="1" x14ac:dyDescent="0.25">
      <c r="A65" s="37"/>
      <c r="B65" s="21"/>
    </row>
    <row r="66" spans="1:2" ht="15.75" customHeight="1" x14ac:dyDescent="0.25">
      <c r="A66" s="37"/>
      <c r="B66" s="21"/>
    </row>
    <row r="67" spans="1:2" ht="15.75" customHeight="1" x14ac:dyDescent="0.25">
      <c r="A67" s="37"/>
      <c r="B67" s="21"/>
    </row>
    <row r="68" spans="1:2" ht="15.75" customHeight="1" x14ac:dyDescent="0.25">
      <c r="A68" s="37"/>
      <c r="B68" s="21"/>
    </row>
    <row r="69" spans="1:2" ht="15.75" customHeight="1" x14ac:dyDescent="0.25">
      <c r="A69" s="37"/>
      <c r="B69" s="21"/>
    </row>
    <row r="70" spans="1:2" ht="15.75" customHeight="1" x14ac:dyDescent="0.25">
      <c r="A70" s="37"/>
      <c r="B70" s="21"/>
    </row>
    <row r="71" spans="1:2" ht="15.75" customHeight="1" x14ac:dyDescent="0.25">
      <c r="A71" s="37"/>
      <c r="B71" s="21"/>
    </row>
    <row r="72" spans="1:2" ht="15.75" customHeight="1" x14ac:dyDescent="0.25">
      <c r="A72" s="37"/>
      <c r="B72" s="21"/>
    </row>
    <row r="73" spans="1:2" ht="15.75" customHeight="1" x14ac:dyDescent="0.25">
      <c r="A73" s="37"/>
      <c r="B73" s="21"/>
    </row>
    <row r="74" spans="1:2" ht="15.75" customHeight="1" x14ac:dyDescent="0.25">
      <c r="A74" s="37"/>
      <c r="B74" s="21"/>
    </row>
    <row r="75" spans="1:2" ht="15.75" customHeight="1" x14ac:dyDescent="0.25">
      <c r="A75" s="37"/>
      <c r="B75" s="21"/>
    </row>
    <row r="76" spans="1:2" ht="15.75" customHeight="1" x14ac:dyDescent="0.25">
      <c r="A76" s="37"/>
      <c r="B76" s="21"/>
    </row>
    <row r="77" spans="1:2" ht="15.75" customHeight="1" x14ac:dyDescent="0.25">
      <c r="A77" s="37"/>
      <c r="B77" s="21"/>
    </row>
    <row r="78" spans="1:2" ht="15.75" customHeight="1" x14ac:dyDescent="0.25">
      <c r="A78" s="1"/>
      <c r="B78" s="21"/>
    </row>
    <row r="79" spans="1:2" ht="15.75" customHeight="1" x14ac:dyDescent="0.25">
      <c r="A79" s="1"/>
      <c r="B79" s="21"/>
    </row>
    <row r="80" spans="1:2" ht="15.75" customHeight="1" x14ac:dyDescent="0.25">
      <c r="A80" s="1"/>
      <c r="B80" s="21"/>
    </row>
    <row r="81" spans="1:6" ht="15.75" customHeight="1" x14ac:dyDescent="0.25">
      <c r="A81" s="1"/>
      <c r="B81" s="21"/>
    </row>
    <row r="82" spans="1:6" ht="15.75" customHeight="1" x14ac:dyDescent="0.25">
      <c r="A82" s="1"/>
      <c r="B82" s="21"/>
    </row>
    <row r="83" spans="1:6" ht="15.75" customHeight="1" x14ac:dyDescent="0.25">
      <c r="A83" s="1"/>
      <c r="B83" s="21"/>
    </row>
    <row r="84" spans="1:6" ht="15.75" customHeight="1" x14ac:dyDescent="0.25">
      <c r="A84" s="1"/>
      <c r="B84" s="21"/>
    </row>
    <row r="85" spans="1:6" ht="15.75" customHeight="1" x14ac:dyDescent="0.25">
      <c r="A85" s="1"/>
      <c r="B85" s="21"/>
    </row>
    <row r="86" spans="1:6" ht="15.75" customHeight="1" x14ac:dyDescent="0.25">
      <c r="A86" s="1"/>
      <c r="B86" s="21"/>
    </row>
    <row r="87" spans="1:6" s="40" customFormat="1" ht="20.25" customHeight="1" x14ac:dyDescent="0.25">
      <c r="A87" s="25"/>
      <c r="B87" s="26"/>
      <c r="C87" s="39"/>
      <c r="D87" s="39"/>
      <c r="E87" s="39"/>
      <c r="F87" s="39"/>
    </row>
    <row r="88" spans="1:6" ht="20.25" customHeight="1" x14ac:dyDescent="0.25">
      <c r="A88" s="41"/>
    </row>
  </sheetData>
  <sheetProtection selectLockedCells="1" selectUnlockedCells="1"/>
  <mergeCells count="1">
    <mergeCell ref="A1:F1"/>
  </mergeCells>
  <phoneticPr fontId="19" type="noConversion"/>
  <printOptions horizontalCentered="1"/>
  <pageMargins left="0.23622047244094491" right="0.23622047244094491" top="1.4960629921259843" bottom="0.39370078740157483" header="0.82677165354330717" footer="0.51181102362204722"/>
  <pageSetup paperSize="9" scale="75" firstPageNumber="0" orientation="portrait" r:id="rId1"/>
  <headerFooter alignWithMargins="0">
    <oddHeader>&amp;L&amp;"Times New Roman,Normál"&amp;12Pécsely Község Önkormányzata&amp;C&amp;"Times New Roman,Félkövér"&amp;12 4. melléklet
Az önkormányzat 2018. évi költségvetéséről szóló .../2018. (.....) önkormányzati rendelet tervezethez</oddHeader>
  </headerFooter>
  <rowBreaks count="2" manualBreakCount="2">
    <brk id="46" max="3" man="1"/>
    <brk id="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159"/>
  <sheetViews>
    <sheetView view="pageLayout" zoomScaleNormal="75" zoomScaleSheetLayoutView="150" workbookViewId="0">
      <selection sqref="A1:F1"/>
    </sheetView>
  </sheetViews>
  <sheetFormatPr defaultColWidth="9.140625" defaultRowHeight="15.75" x14ac:dyDescent="0.25"/>
  <cols>
    <col min="1" max="1" width="37" style="8" customWidth="1"/>
    <col min="2" max="3" width="13.5703125" style="8" customWidth="1"/>
    <col min="4" max="4" width="14.42578125" style="8" customWidth="1"/>
    <col min="5" max="5" width="15.42578125" style="8" customWidth="1"/>
    <col min="6" max="6" width="13.5703125" style="8" customWidth="1"/>
    <col min="7" max="7" width="9.140625" style="8"/>
    <col min="8" max="8" width="10.140625" style="8" bestFit="1" customWidth="1"/>
    <col min="9" max="9" width="13" style="8" customWidth="1"/>
    <col min="10" max="10" width="13.85546875" style="8" customWidth="1"/>
    <col min="11" max="11" width="11.42578125" style="8" customWidth="1"/>
    <col min="12" max="12" width="12" style="8" customWidth="1"/>
    <col min="13" max="13" width="12.5703125" style="8" customWidth="1"/>
    <col min="14" max="14" width="13.140625" style="8" customWidth="1"/>
    <col min="15" max="16384" width="9.140625" style="8"/>
  </cols>
  <sheetData>
    <row r="1" spans="1:6" ht="36" customHeight="1" x14ac:dyDescent="0.25">
      <c r="A1" s="314" t="s">
        <v>352</v>
      </c>
      <c r="B1" s="314"/>
      <c r="C1" s="314"/>
      <c r="D1" s="314"/>
      <c r="E1" s="314"/>
      <c r="F1" s="314"/>
    </row>
    <row r="3" spans="1:6" ht="48" customHeight="1" x14ac:dyDescent="0.25">
      <c r="A3" s="272" t="s">
        <v>213</v>
      </c>
      <c r="B3" s="272" t="s">
        <v>375</v>
      </c>
      <c r="C3" s="272" t="s">
        <v>376</v>
      </c>
      <c r="D3" s="272" t="s">
        <v>392</v>
      </c>
      <c r="E3" s="272" t="s">
        <v>401</v>
      </c>
      <c r="F3" s="272" t="s">
        <v>377</v>
      </c>
    </row>
    <row r="4" spans="1:6" x14ac:dyDescent="0.25">
      <c r="A4" s="269" t="s">
        <v>316</v>
      </c>
      <c r="B4" s="9"/>
      <c r="C4" s="9"/>
      <c r="D4" s="9"/>
      <c r="E4" s="9"/>
      <c r="F4" s="9"/>
    </row>
    <row r="5" spans="1:6" x14ac:dyDescent="0.25">
      <c r="A5" s="315" t="s">
        <v>336</v>
      </c>
      <c r="B5" s="315"/>
      <c r="C5" s="315"/>
      <c r="D5" s="315"/>
      <c r="E5" s="315"/>
      <c r="F5" s="315"/>
    </row>
    <row r="6" spans="1:6" x14ac:dyDescent="0.25">
      <c r="A6" s="270" t="s">
        <v>386</v>
      </c>
      <c r="B6" s="9">
        <v>0</v>
      </c>
      <c r="C6" s="9">
        <v>2667000</v>
      </c>
      <c r="D6" s="9">
        <v>2667000</v>
      </c>
      <c r="E6" s="9">
        <f>2667000+635000</f>
        <v>3302000</v>
      </c>
      <c r="F6" s="9">
        <f>E6-D6</f>
        <v>635000</v>
      </c>
    </row>
    <row r="7" spans="1:6" x14ac:dyDescent="0.25">
      <c r="A7" s="315" t="s">
        <v>337</v>
      </c>
      <c r="B7" s="315"/>
      <c r="C7" s="315"/>
      <c r="D7" s="315"/>
      <c r="E7" s="315"/>
      <c r="F7" s="315"/>
    </row>
    <row r="8" spans="1:6" x14ac:dyDescent="0.25">
      <c r="A8" s="273" t="s">
        <v>325</v>
      </c>
      <c r="B8" s="9">
        <v>200000</v>
      </c>
      <c r="C8" s="9">
        <v>200000</v>
      </c>
      <c r="D8" s="9">
        <f>200000-200000</f>
        <v>0</v>
      </c>
      <c r="E8" s="9">
        <v>0</v>
      </c>
      <c r="F8" s="9">
        <f>E8-D8</f>
        <v>0</v>
      </c>
    </row>
    <row r="9" spans="1:6" ht="17.25" customHeight="1" x14ac:dyDescent="0.25">
      <c r="A9" s="273" t="s">
        <v>350</v>
      </c>
      <c r="B9" s="9">
        <v>1300000</v>
      </c>
      <c r="C9" s="9">
        <v>1300000</v>
      </c>
      <c r="D9" s="9">
        <f>1300000+200000</f>
        <v>1500000</v>
      </c>
      <c r="E9" s="9">
        <v>1500000</v>
      </c>
      <c r="F9" s="9">
        <f t="shared" ref="F9:F13" si="0">E9-D9</f>
        <v>0</v>
      </c>
    </row>
    <row r="10" spans="1:6" x14ac:dyDescent="0.25">
      <c r="A10" s="273" t="s">
        <v>351</v>
      </c>
      <c r="B10" s="9">
        <v>200000</v>
      </c>
      <c r="C10" s="9">
        <v>200000</v>
      </c>
      <c r="D10" s="9">
        <v>200000</v>
      </c>
      <c r="E10" s="9">
        <v>200000</v>
      </c>
      <c r="F10" s="9">
        <f t="shared" si="0"/>
        <v>0</v>
      </c>
    </row>
    <row r="11" spans="1:6" x14ac:dyDescent="0.25">
      <c r="A11" s="273" t="s">
        <v>354</v>
      </c>
      <c r="B11" s="9">
        <v>300000</v>
      </c>
      <c r="C11" s="9">
        <v>300000</v>
      </c>
      <c r="D11" s="9">
        <v>300000</v>
      </c>
      <c r="E11" s="9">
        <v>300000</v>
      </c>
      <c r="F11" s="9">
        <f t="shared" si="0"/>
        <v>0</v>
      </c>
    </row>
    <row r="12" spans="1:6" x14ac:dyDescent="0.25">
      <c r="A12" s="273" t="s">
        <v>396</v>
      </c>
      <c r="B12" s="9"/>
      <c r="C12" s="9"/>
      <c r="D12" s="9">
        <v>700000</v>
      </c>
      <c r="E12" s="9">
        <v>700000</v>
      </c>
      <c r="F12" s="9">
        <f t="shared" si="0"/>
        <v>0</v>
      </c>
    </row>
    <row r="13" spans="1:6" x14ac:dyDescent="0.25">
      <c r="A13" s="273" t="s">
        <v>338</v>
      </c>
      <c r="B13" s="9">
        <v>400000</v>
      </c>
      <c r="C13" s="9">
        <v>400000</v>
      </c>
      <c r="D13" s="9">
        <v>400000</v>
      </c>
      <c r="E13" s="9">
        <v>400000</v>
      </c>
      <c r="F13" s="9">
        <f t="shared" si="0"/>
        <v>0</v>
      </c>
    </row>
    <row r="14" spans="1:6" x14ac:dyDescent="0.25">
      <c r="A14" s="269" t="s">
        <v>317</v>
      </c>
      <c r="B14" s="274">
        <f>SUM(B7:B13)</f>
        <v>2400000</v>
      </c>
      <c r="C14" s="274">
        <f>SUM(C6:C13)</f>
        <v>5067000</v>
      </c>
      <c r="D14" s="274">
        <f>SUM(D6:D13)</f>
        <v>5767000</v>
      </c>
      <c r="E14" s="274">
        <f>SUM(E6:E13)</f>
        <v>6402000</v>
      </c>
      <c r="F14" s="274">
        <f>SUM(F6:F13)</f>
        <v>635000</v>
      </c>
    </row>
    <row r="15" spans="1:6" x14ac:dyDescent="0.25">
      <c r="A15" s="269"/>
      <c r="B15" s="9"/>
      <c r="C15" s="9"/>
      <c r="D15" s="9"/>
      <c r="E15" s="9"/>
      <c r="F15" s="9"/>
    </row>
    <row r="16" spans="1:6" x14ac:dyDescent="0.25">
      <c r="A16" s="269" t="s">
        <v>318</v>
      </c>
      <c r="B16" s="9"/>
      <c r="C16" s="9"/>
      <c r="D16" s="9"/>
      <c r="E16" s="9"/>
      <c r="F16" s="9"/>
    </row>
    <row r="17" spans="1:9" ht="31.5" x14ac:dyDescent="0.25">
      <c r="A17" s="270" t="s">
        <v>353</v>
      </c>
      <c r="B17" s="11">
        <v>500000</v>
      </c>
      <c r="C17" s="11">
        <v>500000</v>
      </c>
      <c r="D17" s="11">
        <v>500000</v>
      </c>
      <c r="E17" s="11">
        <v>500000</v>
      </c>
      <c r="F17" s="11">
        <f>E17-D17</f>
        <v>0</v>
      </c>
    </row>
    <row r="18" spans="1:9" ht="31.5" x14ac:dyDescent="0.25">
      <c r="A18" s="270" t="s">
        <v>323</v>
      </c>
      <c r="B18" s="11">
        <v>0</v>
      </c>
      <c r="C18" s="11">
        <v>360000</v>
      </c>
      <c r="D18" s="11">
        <v>360000</v>
      </c>
      <c r="E18" s="11">
        <v>360000</v>
      </c>
      <c r="F18" s="11">
        <f t="shared" ref="F18:F25" si="1">E18-D18</f>
        <v>0</v>
      </c>
    </row>
    <row r="19" spans="1:9" ht="31.5" x14ac:dyDescent="0.25">
      <c r="A19" s="270" t="s">
        <v>355</v>
      </c>
      <c r="B19" s="11">
        <v>12738922</v>
      </c>
      <c r="C19" s="11">
        <v>12738922</v>
      </c>
      <c r="D19" s="11">
        <v>12738922</v>
      </c>
      <c r="E19" s="11">
        <v>12738922</v>
      </c>
      <c r="F19" s="11">
        <f t="shared" si="1"/>
        <v>0</v>
      </c>
    </row>
    <row r="20" spans="1:9" x14ac:dyDescent="0.25">
      <c r="A20" s="270" t="s">
        <v>356</v>
      </c>
      <c r="B20" s="11">
        <v>2248045</v>
      </c>
      <c r="C20" s="11">
        <v>2248045</v>
      </c>
      <c r="D20" s="11">
        <v>2248045</v>
      </c>
      <c r="E20" s="11">
        <v>2248045</v>
      </c>
      <c r="F20" s="11">
        <f t="shared" si="1"/>
        <v>0</v>
      </c>
    </row>
    <row r="21" spans="1:9" s="10" customFormat="1" ht="31.5" x14ac:dyDescent="0.25">
      <c r="A21" s="270" t="s">
        <v>344</v>
      </c>
      <c r="B21" s="11">
        <v>6302741</v>
      </c>
      <c r="C21" s="11">
        <v>6302741</v>
      </c>
      <c r="D21" s="11">
        <v>6302741</v>
      </c>
      <c r="E21" s="11">
        <v>6302741</v>
      </c>
      <c r="F21" s="11">
        <f t="shared" si="1"/>
        <v>0</v>
      </c>
      <c r="I21" s="212"/>
    </row>
    <row r="22" spans="1:9" s="10" customFormat="1" ht="31.5" x14ac:dyDescent="0.25">
      <c r="A22" s="270" t="s">
        <v>380</v>
      </c>
      <c r="B22" s="11">
        <v>0</v>
      </c>
      <c r="C22" s="11">
        <v>135200</v>
      </c>
      <c r="D22" s="11">
        <v>135200</v>
      </c>
      <c r="E22" s="11">
        <v>135200</v>
      </c>
      <c r="F22" s="11">
        <f t="shared" si="1"/>
        <v>0</v>
      </c>
      <c r="I22" s="212"/>
    </row>
    <row r="23" spans="1:9" s="10" customFormat="1" x14ac:dyDescent="0.25">
      <c r="A23" s="270" t="s">
        <v>384</v>
      </c>
      <c r="B23" s="11">
        <v>0</v>
      </c>
      <c r="C23" s="11">
        <v>78900</v>
      </c>
      <c r="D23" s="11">
        <v>78900</v>
      </c>
      <c r="E23" s="11">
        <v>78900</v>
      </c>
      <c r="F23" s="11">
        <f t="shared" si="1"/>
        <v>0</v>
      </c>
      <c r="I23" s="212"/>
    </row>
    <row r="24" spans="1:9" s="10" customFormat="1" ht="31.5" x14ac:dyDescent="0.25">
      <c r="A24" s="270" t="s">
        <v>397</v>
      </c>
      <c r="B24" s="11">
        <v>0</v>
      </c>
      <c r="C24" s="11">
        <v>0</v>
      </c>
      <c r="D24" s="11">
        <v>2700000</v>
      </c>
      <c r="E24" s="11">
        <v>2700000</v>
      </c>
      <c r="F24" s="11">
        <f t="shared" si="1"/>
        <v>0</v>
      </c>
      <c r="I24" s="212"/>
    </row>
    <row r="25" spans="1:9" s="10" customFormat="1" ht="31.5" x14ac:dyDescent="0.25">
      <c r="A25" s="270" t="s">
        <v>394</v>
      </c>
      <c r="B25" s="11">
        <v>0</v>
      </c>
      <c r="C25" s="11">
        <v>170000</v>
      </c>
      <c r="D25" s="11">
        <v>170000</v>
      </c>
      <c r="E25" s="11">
        <v>170000</v>
      </c>
      <c r="F25" s="11">
        <f t="shared" si="1"/>
        <v>0</v>
      </c>
      <c r="I25" s="212"/>
    </row>
    <row r="26" spans="1:9" s="10" customFormat="1" x14ac:dyDescent="0.25">
      <c r="A26" s="269" t="s">
        <v>319</v>
      </c>
      <c r="B26" s="271">
        <f>SUM(B17:B25)</f>
        <v>21789708</v>
      </c>
      <c r="C26" s="271">
        <f>SUM(C17:C25)</f>
        <v>22533808</v>
      </c>
      <c r="D26" s="271">
        <f>SUM(D17:D25)</f>
        <v>25233808</v>
      </c>
      <c r="E26" s="271">
        <v>25233808</v>
      </c>
      <c r="F26" s="271">
        <f>E26-D26</f>
        <v>0</v>
      </c>
    </row>
    <row r="27" spans="1:9" s="10" customFormat="1" x14ac:dyDescent="0.25">
      <c r="A27" s="275"/>
      <c r="B27" s="275"/>
      <c r="C27" s="275"/>
      <c r="D27" s="275"/>
      <c r="E27" s="275"/>
      <c r="F27" s="275"/>
    </row>
    <row r="28" spans="1:9" x14ac:dyDescent="0.25">
      <c r="A28" s="269" t="s">
        <v>320</v>
      </c>
      <c r="B28" s="276">
        <f>B29</f>
        <v>75000</v>
      </c>
      <c r="C28" s="276">
        <f>C29</f>
        <v>75000</v>
      </c>
      <c r="D28" s="276">
        <f>D29</f>
        <v>75000</v>
      </c>
      <c r="E28" s="276">
        <f>E29</f>
        <v>75000</v>
      </c>
      <c r="F28" s="276">
        <f>F29</f>
        <v>0</v>
      </c>
    </row>
    <row r="29" spans="1:9" ht="31.5" x14ac:dyDescent="0.25">
      <c r="A29" s="270" t="s">
        <v>324</v>
      </c>
      <c r="B29" s="12">
        <v>75000</v>
      </c>
      <c r="C29" s="12">
        <v>75000</v>
      </c>
      <c r="D29" s="12">
        <v>75000</v>
      </c>
      <c r="E29" s="12">
        <v>75000</v>
      </c>
      <c r="F29" s="12">
        <f>C29-B29</f>
        <v>0</v>
      </c>
    </row>
    <row r="30" spans="1:9" x14ac:dyDescent="0.25">
      <c r="A30" s="269"/>
      <c r="B30" s="12"/>
      <c r="C30" s="12"/>
      <c r="D30" s="12"/>
      <c r="E30" s="12"/>
      <c r="F30" s="12"/>
    </row>
    <row r="31" spans="1:9" x14ac:dyDescent="0.25">
      <c r="A31" s="274" t="s">
        <v>339</v>
      </c>
      <c r="B31" s="274">
        <f>B28+B26+B14</f>
        <v>24264708</v>
      </c>
      <c r="C31" s="274">
        <f>C28+C26+C14</f>
        <v>27675808</v>
      </c>
      <c r="D31" s="274">
        <f>D28+D26+D14</f>
        <v>31075808</v>
      </c>
      <c r="E31" s="274">
        <f>E28+E26+E14</f>
        <v>31710808</v>
      </c>
      <c r="F31" s="274">
        <f>F28+F26+F14</f>
        <v>635000</v>
      </c>
    </row>
    <row r="32" spans="1:9" x14ac:dyDescent="0.25">
      <c r="A32" s="277"/>
      <c r="B32" s="277"/>
      <c r="C32" s="277"/>
      <c r="D32" s="277"/>
      <c r="E32" s="277"/>
      <c r="F32" s="277"/>
    </row>
    <row r="33" spans="1:6" x14ac:dyDescent="0.25">
      <c r="A33" s="278" t="s">
        <v>96</v>
      </c>
      <c r="B33" s="278"/>
      <c r="C33" s="278"/>
      <c r="D33" s="278"/>
      <c r="E33" s="278"/>
      <c r="F33" s="278"/>
    </row>
    <row r="34" spans="1:6" x14ac:dyDescent="0.25">
      <c r="A34" s="279" t="s">
        <v>97</v>
      </c>
      <c r="B34" s="12"/>
      <c r="C34" s="12"/>
      <c r="D34" s="12"/>
      <c r="E34" s="12"/>
      <c r="F34" s="12"/>
    </row>
    <row r="35" spans="1:6" s="10" customFormat="1" x14ac:dyDescent="0.25">
      <c r="A35" s="279" t="s">
        <v>93</v>
      </c>
      <c r="B35" s="12"/>
      <c r="C35" s="12"/>
      <c r="D35" s="12"/>
      <c r="E35" s="12"/>
      <c r="F35" s="12"/>
    </row>
    <row r="36" spans="1:6" ht="31.5" x14ac:dyDescent="0.25">
      <c r="A36" s="279" t="s">
        <v>225</v>
      </c>
      <c r="B36" s="12">
        <v>1691641</v>
      </c>
      <c r="C36" s="12">
        <v>1691641</v>
      </c>
      <c r="D36" s="12">
        <v>1691641</v>
      </c>
      <c r="E36" s="12">
        <f>1691641+36000</f>
        <v>1727641</v>
      </c>
      <c r="F36" s="12">
        <f>E36-D36</f>
        <v>36000</v>
      </c>
    </row>
    <row r="37" spans="1:6" ht="31.5" x14ac:dyDescent="0.25">
      <c r="A37" s="278" t="s">
        <v>98</v>
      </c>
      <c r="B37" s="278">
        <f>SUM(B34:B36)</f>
        <v>1691641</v>
      </c>
      <c r="C37" s="278">
        <f>SUM(C34:C36)</f>
        <v>1691641</v>
      </c>
      <c r="D37" s="278">
        <f>SUM(D34:D36)</f>
        <v>1691641</v>
      </c>
      <c r="E37" s="278">
        <f>SUM(E34:E36)</f>
        <v>1727641</v>
      </c>
      <c r="F37" s="278">
        <f>E37-D37</f>
        <v>36000</v>
      </c>
    </row>
    <row r="38" spans="1:6" x14ac:dyDescent="0.25">
      <c r="A38" s="280"/>
      <c r="B38" s="12"/>
      <c r="C38" s="12"/>
      <c r="D38" s="12"/>
      <c r="E38" s="12"/>
      <c r="F38" s="12"/>
    </row>
    <row r="39" spans="1:6" x14ac:dyDescent="0.25">
      <c r="A39" s="269"/>
      <c r="B39" s="274"/>
      <c r="C39" s="274"/>
      <c r="D39" s="274"/>
      <c r="E39" s="274"/>
      <c r="F39" s="274"/>
    </row>
    <row r="40" spans="1:6" x14ac:dyDescent="0.25">
      <c r="A40" s="269" t="s">
        <v>99</v>
      </c>
      <c r="B40" s="269">
        <f>B37+B31</f>
        <v>25956349</v>
      </c>
      <c r="C40" s="269">
        <f>C37+C31</f>
        <v>29367449</v>
      </c>
      <c r="D40" s="269">
        <f>D37+D31</f>
        <v>32767449</v>
      </c>
      <c r="E40" s="269">
        <f>E37+E31</f>
        <v>33438449</v>
      </c>
      <c r="F40" s="269">
        <f>F37+F31</f>
        <v>671000</v>
      </c>
    </row>
    <row r="41" spans="1:6" x14ac:dyDescent="0.25">
      <c r="A41" s="13"/>
      <c r="B41" s="13"/>
      <c r="C41" s="13"/>
      <c r="D41" s="13"/>
      <c r="E41" s="13"/>
      <c r="F41" s="14"/>
    </row>
    <row r="42" spans="1:6" x14ac:dyDescent="0.25">
      <c r="A42" s="13"/>
      <c r="B42" s="13"/>
      <c r="C42" s="13"/>
      <c r="D42" s="13"/>
      <c r="E42" s="13"/>
      <c r="F42" s="14"/>
    </row>
    <row r="43" spans="1:6" x14ac:dyDescent="0.25">
      <c r="A43" s="13"/>
      <c r="B43" s="13"/>
      <c r="C43" s="13"/>
      <c r="D43" s="13"/>
      <c r="E43" s="13"/>
      <c r="F43" s="14"/>
    </row>
    <row r="44" spans="1:6" x14ac:dyDescent="0.25">
      <c r="A44" s="14"/>
      <c r="B44" s="14"/>
      <c r="C44" s="13"/>
      <c r="D44" s="13"/>
      <c r="E44" s="13"/>
      <c r="F44" s="15"/>
    </row>
    <row r="45" spans="1:6" x14ac:dyDescent="0.25">
      <c r="A45" s="14"/>
      <c r="B45" s="14"/>
      <c r="C45" s="13"/>
      <c r="D45" s="13"/>
      <c r="E45" s="13"/>
      <c r="F45" s="14"/>
    </row>
    <row r="46" spans="1:6" x14ac:dyDescent="0.25">
      <c r="A46" s="14"/>
      <c r="B46" s="14"/>
      <c r="C46" s="13"/>
      <c r="D46" s="13"/>
      <c r="E46" s="13"/>
      <c r="F46" s="14"/>
    </row>
    <row r="47" spans="1:6" x14ac:dyDescent="0.25">
      <c r="A47" s="14"/>
      <c r="B47" s="14"/>
      <c r="C47" s="13"/>
      <c r="D47" s="13"/>
      <c r="E47" s="13"/>
      <c r="F47" s="14"/>
    </row>
    <row r="48" spans="1:6" x14ac:dyDescent="0.25">
      <c r="A48" s="14"/>
      <c r="B48" s="14"/>
      <c r="C48" s="13"/>
      <c r="D48" s="13"/>
      <c r="E48" s="13"/>
      <c r="F48" s="14"/>
    </row>
    <row r="49" spans="1:6" x14ac:dyDescent="0.25">
      <c r="A49" s="14"/>
      <c r="B49" s="14"/>
      <c r="C49" s="13"/>
      <c r="D49" s="13"/>
      <c r="E49" s="13"/>
      <c r="F49" s="15"/>
    </row>
    <row r="50" spans="1:6" x14ac:dyDescent="0.25">
      <c r="A50" s="14"/>
      <c r="B50" s="14"/>
      <c r="C50" s="13"/>
      <c r="D50" s="13"/>
      <c r="E50" s="13"/>
      <c r="F50" s="14"/>
    </row>
    <row r="51" spans="1:6" x14ac:dyDescent="0.25">
      <c r="A51" s="14"/>
      <c r="B51" s="14"/>
      <c r="C51" s="13"/>
      <c r="D51" s="13"/>
      <c r="E51" s="13"/>
      <c r="F51" s="14"/>
    </row>
    <row r="52" spans="1:6" x14ac:dyDescent="0.25">
      <c r="A52" s="14"/>
      <c r="B52" s="14"/>
      <c r="C52" s="13"/>
      <c r="D52" s="13"/>
      <c r="E52" s="13"/>
      <c r="F52" s="14"/>
    </row>
    <row r="53" spans="1:6" x14ac:dyDescent="0.25">
      <c r="A53" s="14"/>
      <c r="B53" s="14"/>
      <c r="C53" s="13"/>
      <c r="D53" s="13"/>
      <c r="E53" s="13"/>
      <c r="F53" s="14"/>
    </row>
    <row r="54" spans="1:6" x14ac:dyDescent="0.25">
      <c r="A54" s="14"/>
      <c r="B54" s="14"/>
      <c r="C54" s="13"/>
      <c r="D54" s="13"/>
      <c r="E54" s="13"/>
      <c r="F54" s="14"/>
    </row>
    <row r="55" spans="1:6" x14ac:dyDescent="0.25">
      <c r="A55" s="14"/>
      <c r="B55" s="14"/>
      <c r="C55" s="13"/>
      <c r="D55" s="13"/>
      <c r="E55" s="13"/>
      <c r="F55" s="14"/>
    </row>
    <row r="56" spans="1:6" ht="14.25" customHeight="1" x14ac:dyDescent="0.25">
      <c r="A56" s="14"/>
      <c r="B56" s="14"/>
      <c r="C56" s="13"/>
      <c r="D56" s="13"/>
      <c r="E56" s="13"/>
      <c r="F56" s="14"/>
    </row>
    <row r="57" spans="1:6" ht="14.25" customHeight="1" x14ac:dyDescent="0.25">
      <c r="A57" s="14"/>
      <c r="B57" s="14"/>
      <c r="C57" s="13"/>
      <c r="D57" s="13"/>
      <c r="E57" s="13"/>
      <c r="F57" s="14"/>
    </row>
    <row r="58" spans="1:6" ht="30" customHeight="1" x14ac:dyDescent="0.25">
      <c r="A58" s="14"/>
      <c r="B58" s="14"/>
      <c r="C58" s="13"/>
      <c r="D58" s="13"/>
      <c r="E58" s="13"/>
      <c r="F58" s="14"/>
    </row>
    <row r="59" spans="1:6" ht="16.5" customHeight="1" x14ac:dyDescent="0.25">
      <c r="A59" s="14"/>
      <c r="B59" s="14"/>
      <c r="C59" s="13"/>
      <c r="D59" s="13"/>
      <c r="E59" s="13"/>
      <c r="F59" s="14"/>
    </row>
    <row r="60" spans="1:6" x14ac:dyDescent="0.25">
      <c r="A60" s="14"/>
      <c r="B60" s="14"/>
      <c r="C60" s="13"/>
      <c r="D60" s="13"/>
      <c r="E60" s="13"/>
      <c r="F60" s="13"/>
    </row>
    <row r="61" spans="1:6" x14ac:dyDescent="0.25">
      <c r="A61" s="14"/>
      <c r="B61" s="14"/>
      <c r="C61" s="16"/>
      <c r="D61" s="16"/>
      <c r="E61" s="16"/>
      <c r="F61" s="16"/>
    </row>
    <row r="62" spans="1:6" x14ac:dyDescent="0.25">
      <c r="A62" s="14"/>
      <c r="B62" s="14"/>
      <c r="C62" s="14"/>
      <c r="D62" s="14"/>
      <c r="E62" s="14"/>
      <c r="F62" s="14"/>
    </row>
    <row r="63" spans="1:6" x14ac:dyDescent="0.25">
      <c r="A63" s="14"/>
      <c r="B63" s="14"/>
      <c r="C63" s="14"/>
      <c r="D63" s="14"/>
      <c r="E63" s="14"/>
      <c r="F63" s="14"/>
    </row>
    <row r="64" spans="1:6" x14ac:dyDescent="0.25">
      <c r="A64" s="14"/>
      <c r="B64" s="14"/>
      <c r="C64" s="14"/>
      <c r="D64" s="14"/>
      <c r="E64" s="14"/>
      <c r="F64" s="14"/>
    </row>
    <row r="65" spans="1:6" ht="12" customHeight="1" x14ac:dyDescent="0.25">
      <c r="A65" s="14"/>
      <c r="B65" s="14"/>
      <c r="C65" s="14"/>
      <c r="D65" s="14"/>
      <c r="E65" s="14"/>
      <c r="F65" s="14"/>
    </row>
    <row r="66" spans="1:6" x14ac:dyDescent="0.25">
      <c r="A66" s="14"/>
      <c r="B66" s="14"/>
      <c r="C66" s="14"/>
      <c r="D66" s="14"/>
      <c r="E66" s="14"/>
      <c r="F66" s="14"/>
    </row>
    <row r="67" spans="1:6" x14ac:dyDescent="0.25">
      <c r="A67" s="14"/>
      <c r="B67" s="14"/>
      <c r="C67" s="14"/>
      <c r="D67" s="14"/>
      <c r="E67" s="14"/>
      <c r="F67" s="14"/>
    </row>
    <row r="68" spans="1:6" x14ac:dyDescent="0.25">
      <c r="A68" s="14"/>
      <c r="B68" s="14"/>
      <c r="C68" s="14"/>
      <c r="D68" s="14"/>
      <c r="E68" s="14"/>
      <c r="F68" s="14"/>
    </row>
    <row r="69" spans="1:6" x14ac:dyDescent="0.25">
      <c r="A69" s="14"/>
      <c r="B69" s="14"/>
      <c r="C69" s="13"/>
      <c r="D69" s="13"/>
      <c r="E69" s="13"/>
      <c r="F69" s="13"/>
    </row>
    <row r="70" spans="1:6" x14ac:dyDescent="0.25">
      <c r="A70" s="14"/>
      <c r="B70" s="14"/>
      <c r="C70" s="14"/>
      <c r="D70" s="14"/>
      <c r="E70" s="14"/>
      <c r="F70" s="14"/>
    </row>
    <row r="71" spans="1:6" x14ac:dyDescent="0.25">
      <c r="A71" s="14"/>
      <c r="B71" s="14"/>
      <c r="C71" s="14"/>
      <c r="D71" s="14"/>
      <c r="E71" s="14"/>
      <c r="F71" s="14"/>
    </row>
    <row r="72" spans="1:6" x14ac:dyDescent="0.25">
      <c r="A72" s="14"/>
      <c r="B72" s="14"/>
      <c r="C72" s="14"/>
      <c r="D72" s="14"/>
      <c r="E72" s="14"/>
      <c r="F72" s="14"/>
    </row>
    <row r="73" spans="1:6" x14ac:dyDescent="0.25">
      <c r="A73" s="14"/>
      <c r="B73" s="14"/>
      <c r="C73" s="14"/>
      <c r="D73" s="14"/>
      <c r="E73" s="14"/>
      <c r="F73" s="14"/>
    </row>
    <row r="74" spans="1:6" x14ac:dyDescent="0.25">
      <c r="A74" s="14"/>
      <c r="B74" s="14"/>
      <c r="C74" s="14"/>
      <c r="D74" s="14"/>
      <c r="E74" s="14"/>
      <c r="F74" s="14"/>
    </row>
    <row r="75" spans="1:6" x14ac:dyDescent="0.25">
      <c r="A75" s="14"/>
      <c r="B75" s="14"/>
      <c r="C75" s="14"/>
      <c r="D75" s="14"/>
      <c r="E75" s="14"/>
      <c r="F75" s="14"/>
    </row>
    <row r="76" spans="1:6" x14ac:dyDescent="0.25">
      <c r="A76" s="14"/>
      <c r="B76" s="14"/>
      <c r="C76" s="14"/>
      <c r="D76" s="14"/>
      <c r="E76" s="14"/>
      <c r="F76" s="14"/>
    </row>
    <row r="77" spans="1:6" x14ac:dyDescent="0.25">
      <c r="A77" s="14"/>
      <c r="B77" s="14"/>
      <c r="C77" s="14"/>
      <c r="D77" s="14"/>
      <c r="E77" s="14"/>
      <c r="F77" s="14"/>
    </row>
    <row r="78" spans="1:6" x14ac:dyDescent="0.25">
      <c r="A78" s="14"/>
      <c r="B78" s="14"/>
      <c r="C78" s="14"/>
      <c r="D78" s="14"/>
      <c r="E78" s="14"/>
      <c r="F78" s="14"/>
    </row>
    <row r="79" spans="1:6" x14ac:dyDescent="0.25">
      <c r="A79" s="14"/>
      <c r="B79" s="14"/>
      <c r="C79" s="14"/>
      <c r="D79" s="14"/>
      <c r="E79" s="14"/>
      <c r="F79" s="14"/>
    </row>
    <row r="80" spans="1:6" ht="14.25" customHeight="1" x14ac:dyDescent="0.25">
      <c r="A80" s="14"/>
      <c r="B80" s="14"/>
      <c r="C80" s="14"/>
      <c r="D80" s="14"/>
      <c r="E80" s="14"/>
      <c r="F80" s="14"/>
    </row>
    <row r="81" spans="1:6" x14ac:dyDescent="0.25">
      <c r="A81" s="13"/>
      <c r="B81" s="13"/>
      <c r="C81" s="13"/>
      <c r="D81" s="13"/>
      <c r="E81" s="13"/>
      <c r="F81" s="14"/>
    </row>
    <row r="82" spans="1:6" x14ac:dyDescent="0.25">
      <c r="A82" s="13"/>
      <c r="B82" s="13"/>
      <c r="C82" s="13"/>
      <c r="D82" s="13"/>
      <c r="E82" s="13"/>
      <c r="F82" s="13"/>
    </row>
    <row r="83" spans="1:6" x14ac:dyDescent="0.25">
      <c r="A83" s="13"/>
      <c r="B83" s="13"/>
      <c r="C83" s="13"/>
      <c r="D83" s="13"/>
      <c r="E83" s="13"/>
      <c r="F83" s="14"/>
    </row>
    <row r="84" spans="1:6" x14ac:dyDescent="0.25">
      <c r="A84" s="13"/>
      <c r="B84" s="13"/>
      <c r="C84" s="13"/>
      <c r="D84" s="13"/>
      <c r="E84" s="13"/>
      <c r="F84" s="14"/>
    </row>
    <row r="85" spans="1:6" x14ac:dyDescent="0.25">
      <c r="A85" s="13"/>
      <c r="B85" s="13"/>
      <c r="C85" s="13"/>
      <c r="D85" s="13"/>
      <c r="E85" s="13"/>
      <c r="F85" s="14"/>
    </row>
    <row r="86" spans="1:6" x14ac:dyDescent="0.25">
      <c r="A86" s="13"/>
      <c r="B86" s="13"/>
      <c r="C86" s="13"/>
      <c r="D86" s="13"/>
      <c r="E86" s="13"/>
      <c r="F86" s="14"/>
    </row>
    <row r="87" spans="1:6" x14ac:dyDescent="0.25">
      <c r="A87" s="13"/>
      <c r="B87" s="13"/>
      <c r="C87" s="13"/>
      <c r="D87" s="13"/>
      <c r="E87" s="13"/>
      <c r="F87" s="17"/>
    </row>
    <row r="88" spans="1:6" x14ac:dyDescent="0.25">
      <c r="A88" s="13"/>
      <c r="B88" s="13"/>
      <c r="C88" s="13"/>
      <c r="D88" s="13"/>
      <c r="E88" s="13"/>
      <c r="F88" s="14"/>
    </row>
    <row r="89" spans="1:6" x14ac:dyDescent="0.25">
      <c r="A89" s="13"/>
      <c r="B89" s="13"/>
      <c r="C89" s="13"/>
      <c r="D89" s="13"/>
      <c r="E89" s="13"/>
      <c r="F89" s="14"/>
    </row>
    <row r="90" spans="1:6" x14ac:dyDescent="0.25">
      <c r="A90" s="13"/>
      <c r="B90" s="13"/>
      <c r="C90" s="13"/>
      <c r="D90" s="13"/>
      <c r="E90" s="13"/>
      <c r="F90" s="14"/>
    </row>
    <row r="91" spans="1:6" x14ac:dyDescent="0.25">
      <c r="A91" s="13"/>
      <c r="B91" s="13"/>
      <c r="C91" s="13"/>
      <c r="D91" s="13"/>
      <c r="E91" s="13"/>
      <c r="F91" s="14"/>
    </row>
    <row r="92" spans="1:6" x14ac:dyDescent="0.25">
      <c r="A92" s="13"/>
      <c r="B92" s="13"/>
      <c r="C92" s="13"/>
      <c r="D92" s="13"/>
      <c r="E92" s="13"/>
      <c r="F92" s="14"/>
    </row>
    <row r="93" spans="1:6" x14ac:dyDescent="0.25">
      <c r="A93" s="13"/>
      <c r="B93" s="13"/>
      <c r="C93" s="13"/>
      <c r="D93" s="13"/>
      <c r="E93" s="13"/>
      <c r="F93" s="14"/>
    </row>
    <row r="94" spans="1:6" x14ac:dyDescent="0.25">
      <c r="A94" s="13"/>
      <c r="B94" s="13"/>
      <c r="C94" s="13"/>
      <c r="D94" s="13"/>
      <c r="E94" s="13"/>
      <c r="F94" s="14"/>
    </row>
    <row r="95" spans="1:6" x14ac:dyDescent="0.25">
      <c r="A95" s="13"/>
      <c r="B95" s="13"/>
      <c r="C95" s="13"/>
      <c r="D95" s="13"/>
      <c r="E95" s="13"/>
      <c r="F95" s="14"/>
    </row>
    <row r="96" spans="1:6" x14ac:dyDescent="0.25">
      <c r="A96" s="13"/>
      <c r="B96" s="13"/>
      <c r="C96" s="13"/>
      <c r="D96" s="13"/>
      <c r="E96" s="13"/>
      <c r="F96" s="14"/>
    </row>
    <row r="97" spans="1:6" x14ac:dyDescent="0.25">
      <c r="A97" s="13"/>
      <c r="B97" s="13"/>
      <c r="C97" s="13"/>
      <c r="D97" s="13"/>
      <c r="E97" s="13"/>
      <c r="F97" s="14"/>
    </row>
    <row r="98" spans="1:6" x14ac:dyDescent="0.25">
      <c r="A98" s="13"/>
      <c r="B98" s="13"/>
      <c r="C98" s="13"/>
      <c r="D98" s="13"/>
      <c r="E98" s="13"/>
      <c r="F98" s="14"/>
    </row>
    <row r="99" spans="1:6" x14ac:dyDescent="0.25">
      <c r="A99" s="13"/>
      <c r="B99" s="13"/>
      <c r="C99" s="13"/>
      <c r="D99" s="13"/>
      <c r="E99" s="13"/>
      <c r="F99" s="15"/>
    </row>
    <row r="100" spans="1:6" x14ac:dyDescent="0.25">
      <c r="A100" s="13"/>
      <c r="B100" s="13"/>
      <c r="C100" s="13"/>
      <c r="D100" s="13"/>
      <c r="E100" s="13"/>
      <c r="F100" s="14"/>
    </row>
    <row r="101" spans="1:6" x14ac:dyDescent="0.25">
      <c r="A101" s="13"/>
      <c r="B101" s="13"/>
      <c r="C101" s="13"/>
      <c r="D101" s="13"/>
      <c r="E101" s="13"/>
      <c r="F101" s="14"/>
    </row>
    <row r="102" spans="1:6" x14ac:dyDescent="0.25">
      <c r="A102" s="13"/>
      <c r="B102" s="13"/>
      <c r="C102" s="13"/>
      <c r="D102" s="13"/>
      <c r="E102" s="13"/>
      <c r="F102" s="14"/>
    </row>
    <row r="103" spans="1:6" x14ac:dyDescent="0.25">
      <c r="A103" s="13"/>
      <c r="B103" s="13"/>
      <c r="C103" s="13"/>
      <c r="D103" s="13"/>
      <c r="E103" s="13"/>
      <c r="F103" s="14"/>
    </row>
    <row r="104" spans="1:6" x14ac:dyDescent="0.25">
      <c r="A104" s="13"/>
      <c r="B104" s="13"/>
      <c r="C104" s="13"/>
      <c r="D104" s="13"/>
      <c r="E104" s="13"/>
      <c r="F104" s="14"/>
    </row>
    <row r="105" spans="1:6" x14ac:dyDescent="0.25">
      <c r="A105" s="13"/>
      <c r="B105" s="13"/>
      <c r="C105" s="13"/>
      <c r="D105" s="13"/>
      <c r="E105" s="13"/>
      <c r="F105" s="14"/>
    </row>
    <row r="106" spans="1:6" x14ac:dyDescent="0.25">
      <c r="A106" s="13"/>
      <c r="B106" s="13"/>
      <c r="C106" s="13"/>
      <c r="D106" s="13"/>
      <c r="E106" s="13"/>
      <c r="F106" s="14"/>
    </row>
    <row r="107" spans="1:6" x14ac:dyDescent="0.25">
      <c r="A107" s="13"/>
      <c r="B107" s="13"/>
      <c r="C107" s="13"/>
      <c r="D107" s="13"/>
      <c r="E107" s="13"/>
      <c r="F107" s="14"/>
    </row>
    <row r="108" spans="1:6" x14ac:dyDescent="0.25">
      <c r="A108" s="13"/>
      <c r="B108" s="13"/>
      <c r="C108" s="13"/>
      <c r="D108" s="13"/>
      <c r="E108" s="13"/>
      <c r="F108" s="14"/>
    </row>
    <row r="109" spans="1:6" x14ac:dyDescent="0.25">
      <c r="A109" s="13"/>
      <c r="B109" s="13"/>
      <c r="C109" s="13"/>
      <c r="D109" s="13"/>
      <c r="E109" s="13"/>
      <c r="F109" s="14"/>
    </row>
    <row r="110" spans="1:6" x14ac:dyDescent="0.25">
      <c r="A110" s="13"/>
      <c r="B110" s="13"/>
      <c r="C110" s="13"/>
      <c r="D110" s="13"/>
      <c r="E110" s="13"/>
      <c r="F110" s="14"/>
    </row>
    <row r="111" spans="1:6" x14ac:dyDescent="0.25">
      <c r="A111" s="13"/>
      <c r="B111" s="13"/>
      <c r="C111" s="13"/>
      <c r="D111" s="13"/>
      <c r="E111" s="13"/>
      <c r="F111" s="14"/>
    </row>
    <row r="112" spans="1:6" ht="17.25" customHeight="1" x14ac:dyDescent="0.25">
      <c r="A112" s="13"/>
      <c r="B112" s="13"/>
      <c r="C112" s="13"/>
      <c r="D112" s="13"/>
      <c r="E112" s="13"/>
      <c r="F112" s="14"/>
    </row>
    <row r="113" spans="1:6" x14ac:dyDescent="0.25">
      <c r="A113" s="13"/>
      <c r="B113" s="13"/>
      <c r="C113" s="13"/>
      <c r="D113" s="13"/>
      <c r="E113" s="13"/>
      <c r="F113" s="13"/>
    </row>
    <row r="114" spans="1:6" x14ac:dyDescent="0.25">
      <c r="A114" s="13"/>
      <c r="B114" s="13"/>
      <c r="C114" s="13"/>
      <c r="D114" s="13"/>
      <c r="E114" s="13"/>
      <c r="F114" s="14"/>
    </row>
    <row r="115" spans="1:6" x14ac:dyDescent="0.25">
      <c r="A115" s="13"/>
      <c r="B115" s="13"/>
      <c r="C115" s="13"/>
      <c r="D115" s="13"/>
      <c r="E115" s="13"/>
      <c r="F115" s="14"/>
    </row>
    <row r="116" spans="1:6" x14ac:dyDescent="0.25">
      <c r="A116" s="13"/>
      <c r="B116" s="13"/>
      <c r="C116" s="13"/>
      <c r="D116" s="13"/>
      <c r="E116" s="13"/>
      <c r="F116" s="14"/>
    </row>
    <row r="117" spans="1:6" x14ac:dyDescent="0.25">
      <c r="A117" s="13"/>
      <c r="B117" s="13"/>
      <c r="C117" s="13"/>
      <c r="D117" s="13"/>
      <c r="E117" s="13"/>
      <c r="F117" s="14"/>
    </row>
    <row r="118" spans="1:6" x14ac:dyDescent="0.25">
      <c r="A118" s="13"/>
      <c r="B118" s="13"/>
      <c r="C118" s="13"/>
      <c r="D118" s="13"/>
      <c r="E118" s="13"/>
      <c r="F118" s="15"/>
    </row>
    <row r="119" spans="1:6" x14ac:dyDescent="0.25">
      <c r="A119" s="13"/>
      <c r="B119" s="13"/>
      <c r="C119" s="13"/>
      <c r="D119" s="13"/>
      <c r="E119" s="13"/>
      <c r="F119" s="16"/>
    </row>
    <row r="120" spans="1:6" x14ac:dyDescent="0.25">
      <c r="A120" s="13"/>
      <c r="B120" s="13"/>
      <c r="C120" s="13"/>
      <c r="D120" s="13"/>
      <c r="E120" s="13"/>
      <c r="F120" s="14"/>
    </row>
    <row r="121" spans="1:6" ht="31.5" customHeight="1" x14ac:dyDescent="0.25">
      <c r="A121" s="13"/>
      <c r="B121" s="13"/>
      <c r="C121" s="13"/>
      <c r="D121" s="13"/>
      <c r="E121" s="13"/>
      <c r="F121" s="14"/>
    </row>
    <row r="122" spans="1:6" x14ac:dyDescent="0.25">
      <c r="A122" s="13"/>
      <c r="B122" s="13"/>
      <c r="C122" s="13"/>
      <c r="D122" s="13"/>
      <c r="E122" s="13"/>
      <c r="F122" s="15"/>
    </row>
    <row r="123" spans="1:6" x14ac:dyDescent="0.25">
      <c r="A123" s="13"/>
      <c r="B123" s="13"/>
      <c r="C123" s="13"/>
      <c r="D123" s="13"/>
      <c r="E123" s="13"/>
      <c r="F123" s="14"/>
    </row>
    <row r="124" spans="1:6" ht="15.75" customHeight="1" x14ac:dyDescent="0.25">
      <c r="A124" s="13"/>
      <c r="B124" s="13"/>
      <c r="C124" s="13"/>
      <c r="D124" s="13"/>
      <c r="E124" s="13"/>
      <c r="F124" s="14"/>
    </row>
    <row r="125" spans="1:6" x14ac:dyDescent="0.25">
      <c r="A125" s="13"/>
      <c r="B125" s="13"/>
      <c r="C125" s="13"/>
      <c r="D125" s="13"/>
      <c r="E125" s="13"/>
      <c r="F125" s="14"/>
    </row>
    <row r="126" spans="1:6" x14ac:dyDescent="0.25">
      <c r="A126" s="13"/>
      <c r="B126" s="13"/>
      <c r="C126" s="13"/>
      <c r="D126" s="13"/>
      <c r="E126" s="13"/>
      <c r="F126" s="14"/>
    </row>
    <row r="127" spans="1:6" x14ac:dyDescent="0.25">
      <c r="A127" s="13"/>
      <c r="B127" s="13"/>
      <c r="C127" s="13"/>
      <c r="D127" s="13"/>
      <c r="E127" s="13"/>
      <c r="F127" s="14"/>
    </row>
    <row r="128" spans="1:6" x14ac:dyDescent="0.25">
      <c r="A128" s="13"/>
      <c r="B128" s="13"/>
      <c r="C128" s="13"/>
      <c r="D128" s="13"/>
      <c r="E128" s="13"/>
      <c r="F128" s="14"/>
    </row>
    <row r="129" spans="1:6" x14ac:dyDescent="0.25">
      <c r="A129" s="13"/>
      <c r="B129" s="13"/>
      <c r="C129" s="13"/>
      <c r="D129" s="13"/>
      <c r="E129" s="13"/>
      <c r="F129" s="14"/>
    </row>
    <row r="130" spans="1:6" x14ac:dyDescent="0.25">
      <c r="A130" s="13"/>
      <c r="B130" s="13"/>
      <c r="C130" s="13"/>
      <c r="D130" s="13"/>
      <c r="E130" s="13"/>
      <c r="F130" s="14"/>
    </row>
    <row r="131" spans="1:6" ht="14.25" customHeight="1" x14ac:dyDescent="0.25">
      <c r="A131" s="13"/>
      <c r="B131" s="13"/>
      <c r="C131" s="13"/>
      <c r="D131" s="13"/>
      <c r="E131" s="13"/>
      <c r="F131" s="14"/>
    </row>
    <row r="132" spans="1:6" x14ac:dyDescent="0.25">
      <c r="A132" s="13"/>
      <c r="B132" s="13"/>
      <c r="C132" s="13"/>
      <c r="D132" s="13"/>
      <c r="E132" s="13"/>
      <c r="F132" s="13"/>
    </row>
    <row r="133" spans="1:6" x14ac:dyDescent="0.25">
      <c r="A133" s="13"/>
      <c r="B133" s="13"/>
      <c r="C133" s="13"/>
      <c r="D133" s="13"/>
      <c r="E133" s="13"/>
      <c r="F133" s="14"/>
    </row>
    <row r="134" spans="1:6" x14ac:dyDescent="0.25">
      <c r="A134" s="13"/>
      <c r="B134" s="13"/>
      <c r="C134" s="13"/>
      <c r="D134" s="13"/>
      <c r="E134" s="13"/>
      <c r="F134" s="14"/>
    </row>
    <row r="135" spans="1:6" s="10" customFormat="1" x14ac:dyDescent="0.25">
      <c r="A135" s="13"/>
      <c r="B135" s="13"/>
      <c r="C135" s="13"/>
      <c r="D135" s="13"/>
      <c r="E135" s="13"/>
      <c r="F135" s="15"/>
    </row>
    <row r="136" spans="1:6" x14ac:dyDescent="0.25">
      <c r="A136" s="13"/>
      <c r="B136" s="13"/>
      <c r="C136" s="13"/>
      <c r="D136" s="13"/>
      <c r="E136" s="13"/>
      <c r="F136" s="14"/>
    </row>
    <row r="137" spans="1:6" x14ac:dyDescent="0.25">
      <c r="A137" s="13"/>
      <c r="B137" s="13"/>
      <c r="C137" s="13"/>
      <c r="D137" s="13"/>
      <c r="E137" s="13"/>
      <c r="F137" s="14"/>
    </row>
    <row r="138" spans="1:6" s="10" customFormat="1" x14ac:dyDescent="0.25">
      <c r="A138" s="13"/>
      <c r="B138" s="13"/>
      <c r="C138" s="13"/>
      <c r="D138" s="13"/>
      <c r="E138" s="13"/>
      <c r="F138" s="15"/>
    </row>
    <row r="139" spans="1:6" x14ac:dyDescent="0.25">
      <c r="A139" s="13"/>
      <c r="B139" s="13"/>
      <c r="C139" s="13"/>
      <c r="D139" s="13"/>
      <c r="E139" s="13"/>
      <c r="F139" s="14"/>
    </row>
    <row r="140" spans="1:6" x14ac:dyDescent="0.25">
      <c r="A140" s="13"/>
      <c r="B140" s="13"/>
      <c r="C140" s="13"/>
      <c r="D140" s="13"/>
      <c r="E140" s="13"/>
      <c r="F140" s="14"/>
    </row>
    <row r="141" spans="1:6" x14ac:dyDescent="0.25">
      <c r="A141" s="13"/>
      <c r="B141" s="13"/>
      <c r="C141" s="13"/>
      <c r="D141" s="13"/>
      <c r="E141" s="13"/>
      <c r="F141" s="14"/>
    </row>
    <row r="142" spans="1:6" x14ac:dyDescent="0.25">
      <c r="A142" s="13"/>
      <c r="B142" s="13"/>
      <c r="C142" s="13"/>
      <c r="D142" s="13"/>
      <c r="E142" s="13"/>
      <c r="F142" s="14"/>
    </row>
    <row r="143" spans="1:6" ht="14.25" customHeight="1" x14ac:dyDescent="0.25">
      <c r="A143" s="13"/>
      <c r="B143" s="13"/>
      <c r="C143" s="13"/>
      <c r="D143" s="13"/>
      <c r="E143" s="13"/>
      <c r="F143" s="14"/>
    </row>
    <row r="144" spans="1:6" x14ac:dyDescent="0.25">
      <c r="A144" s="13"/>
      <c r="B144" s="13"/>
      <c r="C144" s="13"/>
      <c r="D144" s="13"/>
      <c r="E144" s="13"/>
      <c r="F144" s="13"/>
    </row>
    <row r="145" spans="1:6" x14ac:dyDescent="0.25">
      <c r="A145" s="13"/>
      <c r="B145" s="13"/>
      <c r="C145" s="13"/>
      <c r="D145" s="13"/>
      <c r="E145" s="13"/>
      <c r="F145" s="14"/>
    </row>
    <row r="146" spans="1:6" x14ac:dyDescent="0.25">
      <c r="A146" s="13"/>
      <c r="B146" s="13"/>
      <c r="C146" s="13"/>
      <c r="D146" s="13"/>
      <c r="E146" s="13"/>
      <c r="F146" s="14"/>
    </row>
    <row r="147" spans="1:6" s="10" customFormat="1" x14ac:dyDescent="0.25">
      <c r="A147" s="13"/>
      <c r="B147" s="13"/>
      <c r="C147" s="13"/>
      <c r="D147" s="13"/>
      <c r="E147" s="13"/>
      <c r="F147" s="13"/>
    </row>
    <row r="148" spans="1:6" s="10" customFormat="1" x14ac:dyDescent="0.25">
      <c r="A148" s="13"/>
      <c r="B148" s="13"/>
      <c r="C148" s="13"/>
      <c r="D148" s="13"/>
      <c r="E148" s="13"/>
      <c r="F148" s="14"/>
    </row>
    <row r="149" spans="1:6" x14ac:dyDescent="0.25">
      <c r="A149" s="13"/>
      <c r="B149" s="13"/>
      <c r="C149" s="13"/>
      <c r="D149" s="13"/>
      <c r="E149" s="13"/>
      <c r="F149" s="14"/>
    </row>
    <row r="150" spans="1:6" x14ac:dyDescent="0.25">
      <c r="A150" s="13"/>
      <c r="B150" s="13"/>
      <c r="C150" s="13"/>
      <c r="D150" s="13"/>
      <c r="E150" s="13"/>
      <c r="F150" s="14"/>
    </row>
    <row r="151" spans="1:6" x14ac:dyDescent="0.25">
      <c r="A151" s="13"/>
      <c r="B151" s="13"/>
      <c r="C151" s="13"/>
      <c r="D151" s="13"/>
      <c r="E151" s="13"/>
      <c r="F151" s="14"/>
    </row>
    <row r="152" spans="1:6" ht="14.25" customHeight="1" x14ac:dyDescent="0.25">
      <c r="A152" s="13"/>
      <c r="B152" s="13"/>
      <c r="C152" s="13"/>
      <c r="D152" s="13"/>
      <c r="E152" s="13"/>
      <c r="F152" s="14"/>
    </row>
    <row r="153" spans="1:6" s="10" customFormat="1" x14ac:dyDescent="0.25">
      <c r="A153" s="13"/>
      <c r="B153" s="13"/>
      <c r="C153" s="13"/>
      <c r="D153" s="13"/>
      <c r="E153" s="13"/>
      <c r="F153" s="13"/>
    </row>
    <row r="154" spans="1:6" x14ac:dyDescent="0.25">
      <c r="A154" s="13"/>
      <c r="B154" s="13"/>
      <c r="C154" s="13"/>
      <c r="D154" s="13"/>
      <c r="E154" s="13"/>
      <c r="F154" s="14"/>
    </row>
    <row r="155" spans="1:6" x14ac:dyDescent="0.25">
      <c r="A155" s="13"/>
      <c r="B155" s="13"/>
      <c r="C155" s="13"/>
      <c r="D155" s="13"/>
      <c r="E155" s="13"/>
      <c r="F155" s="14"/>
    </row>
    <row r="156" spans="1:6" x14ac:dyDescent="0.25">
      <c r="A156" s="13"/>
      <c r="B156" s="13"/>
      <c r="C156" s="13"/>
      <c r="D156" s="13"/>
      <c r="E156" s="13"/>
      <c r="F156" s="14"/>
    </row>
    <row r="157" spans="1:6" x14ac:dyDescent="0.25">
      <c r="A157" s="13"/>
      <c r="B157" s="13"/>
      <c r="C157" s="13"/>
      <c r="D157" s="13"/>
      <c r="E157" s="13"/>
      <c r="F157" s="14"/>
    </row>
    <row r="158" spans="1:6" x14ac:dyDescent="0.25">
      <c r="A158" s="13"/>
      <c r="B158" s="13"/>
      <c r="C158" s="13"/>
      <c r="D158" s="13"/>
      <c r="E158" s="13"/>
      <c r="F158" s="13"/>
    </row>
    <row r="159" spans="1:6" x14ac:dyDescent="0.25">
      <c r="B159" s="18"/>
      <c r="C159" s="18"/>
      <c r="D159" s="18"/>
      <c r="E159" s="18"/>
      <c r="F159" s="18"/>
    </row>
  </sheetData>
  <sheetProtection selectLockedCells="1" selectUnlockedCells="1"/>
  <mergeCells count="3">
    <mergeCell ref="A1:F1"/>
    <mergeCell ref="A5:F5"/>
    <mergeCell ref="A7:F7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firstPageNumber="0" orientation="portrait" r:id="rId1"/>
  <headerFooter alignWithMargins="0">
    <oddHeader>&amp;L&amp;"Times New Roman,Normál"&amp;12Pécsely Község Önkormányzata&amp;C&amp;"Times New Roman,Félkövér"&amp;12 5. melléklet
Az önkormányzat 2018. évi költségvetéséről szóló .../2018. (.....) önkormányzati rendelet tervezethez</oddHeader>
  </headerFooter>
  <rowBreaks count="2" manualBreakCount="2">
    <brk id="60" max="16383" man="1"/>
    <brk id="11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N62"/>
  <sheetViews>
    <sheetView view="pageLayout" topLeftCell="C1" zoomScaleNormal="100" zoomScaleSheetLayoutView="89" workbookViewId="0">
      <selection activeCell="A4" sqref="A4:L4"/>
    </sheetView>
  </sheetViews>
  <sheetFormatPr defaultColWidth="9.140625" defaultRowHeight="15.75" x14ac:dyDescent="0.25"/>
  <cols>
    <col min="1" max="1" width="45.7109375" style="104" customWidth="1"/>
    <col min="2" max="2" width="17.28515625" style="42" customWidth="1"/>
    <col min="3" max="3" width="18" style="42" customWidth="1"/>
    <col min="4" max="5" width="16.7109375" style="42" customWidth="1"/>
    <col min="6" max="6" width="17.5703125" style="42" customWidth="1"/>
    <col min="7" max="7" width="45.85546875" style="104" customWidth="1"/>
    <col min="8" max="8" width="17" style="42" bestFit="1" customWidth="1"/>
    <col min="9" max="10" width="15.42578125" style="42" bestFit="1" customWidth="1"/>
    <col min="11" max="11" width="15.42578125" style="42" customWidth="1"/>
    <col min="12" max="12" width="18.5703125" style="42" bestFit="1" customWidth="1"/>
    <col min="13" max="13" width="9.140625" style="42"/>
    <col min="14" max="14" width="10.5703125" style="42" customWidth="1"/>
    <col min="15" max="15" width="9.140625" style="42"/>
    <col min="16" max="16" width="12.28515625" style="42" customWidth="1"/>
    <col min="17" max="16384" width="9.140625" style="42"/>
  </cols>
  <sheetData>
    <row r="2" spans="1:14" x14ac:dyDescent="0.25">
      <c r="G2" s="105"/>
      <c r="H2" s="106"/>
      <c r="I2" s="106"/>
      <c r="J2" s="106"/>
      <c r="K2" s="106"/>
      <c r="L2" s="106"/>
    </row>
    <row r="4" spans="1:14" ht="15.75" customHeight="1" x14ac:dyDescent="0.25">
      <c r="A4" s="317" t="s">
        <v>335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4" ht="16.5" thickBot="1" x14ac:dyDescent="0.3"/>
    <row r="6" spans="1:14" s="104" customFormat="1" ht="32.25" thickBot="1" x14ac:dyDescent="0.3">
      <c r="A6" s="107" t="s">
        <v>100</v>
      </c>
      <c r="B6" s="30" t="s">
        <v>375</v>
      </c>
      <c r="C6" s="30" t="s">
        <v>376</v>
      </c>
      <c r="D6" s="30" t="s">
        <v>392</v>
      </c>
      <c r="E6" s="30" t="s">
        <v>401</v>
      </c>
      <c r="F6" s="30" t="s">
        <v>377</v>
      </c>
      <c r="G6" s="108" t="s">
        <v>101</v>
      </c>
      <c r="H6" s="30" t="s">
        <v>375</v>
      </c>
      <c r="I6" s="90" t="s">
        <v>376</v>
      </c>
      <c r="J6" s="90" t="s">
        <v>392</v>
      </c>
      <c r="K6" s="90" t="s">
        <v>401</v>
      </c>
      <c r="L6" s="103" t="s">
        <v>377</v>
      </c>
    </row>
    <row r="7" spans="1:14" ht="31.5" x14ac:dyDescent="0.25">
      <c r="A7" s="109" t="s">
        <v>102</v>
      </c>
      <c r="B7" s="110">
        <f>'1.sz.tábla'!B7</f>
        <v>33655434</v>
      </c>
      <c r="C7" s="110">
        <f>'1.sz.tábla'!C7</f>
        <v>34003915</v>
      </c>
      <c r="D7" s="110">
        <f>'1.sz.tábla'!D7</f>
        <v>41947155</v>
      </c>
      <c r="E7" s="110">
        <f>'1.sz.tábla'!E7</f>
        <v>42710795</v>
      </c>
      <c r="F7" s="110">
        <f>E7-D7</f>
        <v>763640</v>
      </c>
      <c r="G7" s="111" t="s">
        <v>87</v>
      </c>
      <c r="H7" s="110">
        <f>'3.tábla'!B7</f>
        <v>17970857</v>
      </c>
      <c r="I7" s="110">
        <f>'3.tábla'!C7</f>
        <v>19118089</v>
      </c>
      <c r="J7" s="110">
        <f>'3.tábla'!D7</f>
        <v>19418089</v>
      </c>
      <c r="K7" s="110">
        <f>'3.tábla'!E7</f>
        <v>19498089</v>
      </c>
      <c r="L7" s="110">
        <f>'3.tábla'!F7</f>
        <v>80000</v>
      </c>
    </row>
    <row r="8" spans="1:14" x14ac:dyDescent="0.25">
      <c r="A8" s="112" t="s">
        <v>103</v>
      </c>
      <c r="B8" s="43">
        <f>'1.sz.tábla'!B9</f>
        <v>20250000</v>
      </c>
      <c r="C8" s="43">
        <f>'1.sz.tábla'!C9</f>
        <v>20250000</v>
      </c>
      <c r="D8" s="43">
        <f>'1.sz.tábla'!D9</f>
        <v>20250000</v>
      </c>
      <c r="E8" s="43">
        <f>'1.sz.tábla'!E9</f>
        <v>20250000</v>
      </c>
      <c r="F8" s="43">
        <f>E8-D8</f>
        <v>0</v>
      </c>
      <c r="G8" s="113" t="s">
        <v>388</v>
      </c>
      <c r="H8" s="114">
        <f>'3.tábla'!B8</f>
        <v>3557552</v>
      </c>
      <c r="I8" s="114">
        <f>'3.tábla'!C8</f>
        <v>3713552</v>
      </c>
      <c r="J8" s="114">
        <f>'3.tábla'!D8</f>
        <v>3772052</v>
      </c>
      <c r="K8" s="114">
        <f>'3.tábla'!E8</f>
        <v>3780052</v>
      </c>
      <c r="L8" s="114">
        <f>'3.tábla'!F8</f>
        <v>8000</v>
      </c>
    </row>
    <row r="9" spans="1:14" x14ac:dyDescent="0.25">
      <c r="A9" s="113" t="s">
        <v>104</v>
      </c>
      <c r="B9" s="43">
        <f>'1.sz.tábla'!B10</f>
        <v>7100000</v>
      </c>
      <c r="C9" s="43">
        <f>'1.sz.tábla'!C10</f>
        <v>7862520</v>
      </c>
      <c r="D9" s="43">
        <f>'1.sz.tábla'!D10</f>
        <v>7862520</v>
      </c>
      <c r="E9" s="43">
        <f>'1.sz.tábla'!E10</f>
        <v>7862520</v>
      </c>
      <c r="F9" s="43">
        <f t="shared" ref="F9:F10" si="0">E9-D9</f>
        <v>0</v>
      </c>
      <c r="G9" s="113" t="s">
        <v>105</v>
      </c>
      <c r="H9" s="43">
        <f>'3.tábla'!B9</f>
        <v>30091000</v>
      </c>
      <c r="I9" s="43">
        <f>'3.tábla'!C9</f>
        <v>30311320</v>
      </c>
      <c r="J9" s="43">
        <f>'3.tábla'!D9</f>
        <v>34333000</v>
      </c>
      <c r="K9" s="43">
        <f>'3.tábla'!E9</f>
        <v>35008640</v>
      </c>
      <c r="L9" s="43">
        <f>'3.tábla'!F9</f>
        <v>675640</v>
      </c>
      <c r="N9" s="101"/>
    </row>
    <row r="10" spans="1:14" ht="31.5" x14ac:dyDescent="0.25">
      <c r="A10" s="112" t="s">
        <v>106</v>
      </c>
      <c r="B10" s="43">
        <f>'1.sz.tábla'!B12</f>
        <v>0</v>
      </c>
      <c r="C10" s="43">
        <f>'1.sz.tábla'!C12</f>
        <v>0</v>
      </c>
      <c r="D10" s="43">
        <f>'1.sz.tábla'!D12</f>
        <v>0</v>
      </c>
      <c r="E10" s="43">
        <f>'1.sz.tábla'!E12</f>
        <v>0</v>
      </c>
      <c r="F10" s="43">
        <f t="shared" si="0"/>
        <v>0</v>
      </c>
      <c r="G10" s="113" t="s">
        <v>88</v>
      </c>
      <c r="H10" s="43">
        <f>'3.tábla'!B48</f>
        <v>3704000</v>
      </c>
      <c r="I10" s="43">
        <f>'3.tábla'!C48</f>
        <v>3704000</v>
      </c>
      <c r="J10" s="43">
        <f>'3.tábla'!D48</f>
        <v>3704000</v>
      </c>
      <c r="K10" s="43">
        <f>'3.tábla'!E48</f>
        <v>3704000</v>
      </c>
      <c r="L10" s="43">
        <f>'3.tábla'!F48</f>
        <v>0</v>
      </c>
    </row>
    <row r="11" spans="1:14" x14ac:dyDescent="0.25">
      <c r="A11" s="113"/>
      <c r="B11" s="115"/>
      <c r="C11" s="115"/>
      <c r="D11" s="115"/>
      <c r="E11" s="115"/>
      <c r="F11" s="115"/>
      <c r="G11" s="113" t="s">
        <v>86</v>
      </c>
      <c r="H11" s="43">
        <f>'3.tábla'!B35</f>
        <v>14910585</v>
      </c>
      <c r="I11" s="43">
        <f>'3.tábla'!C35</f>
        <v>14910585</v>
      </c>
      <c r="J11" s="43">
        <f>'3.tábla'!D35</f>
        <v>12547376</v>
      </c>
      <c r="K11" s="43">
        <f>'3.tábla'!E35</f>
        <v>12547376</v>
      </c>
      <c r="L11" s="43">
        <f>'3.tábla'!F35</f>
        <v>0</v>
      </c>
    </row>
    <row r="12" spans="1:14" x14ac:dyDescent="0.25">
      <c r="A12" s="113"/>
      <c r="B12" s="115"/>
      <c r="C12" s="115"/>
      <c r="D12" s="115"/>
      <c r="E12" s="115"/>
      <c r="F12" s="115"/>
      <c r="G12" s="113" t="s">
        <v>226</v>
      </c>
      <c r="H12" s="43">
        <f>'3.tábla'!B34</f>
        <v>27305</v>
      </c>
      <c r="I12" s="43">
        <f>'3.tábla'!C34</f>
        <v>27305</v>
      </c>
      <c r="J12" s="43">
        <f>'3.tábla'!D34</f>
        <v>27305</v>
      </c>
      <c r="K12" s="43">
        <f>'3.tábla'!E34</f>
        <v>27305</v>
      </c>
      <c r="L12" s="43">
        <f>'3.tábla'!F34</f>
        <v>0</v>
      </c>
    </row>
    <row r="13" spans="1:14" ht="31.5" x14ac:dyDescent="0.25">
      <c r="A13" s="112"/>
      <c r="B13" s="115"/>
      <c r="C13" s="115"/>
      <c r="D13" s="115"/>
      <c r="E13" s="115"/>
      <c r="F13" s="115"/>
      <c r="G13" s="113" t="s">
        <v>227</v>
      </c>
      <c r="H13" s="43">
        <f>'4. sz. tábla'!B5</f>
        <v>14733280</v>
      </c>
      <c r="I13" s="43">
        <f>'4. sz. tábla'!C5</f>
        <v>14733280</v>
      </c>
      <c r="J13" s="43">
        <f>'4. sz. tábla'!D5</f>
        <v>12370071</v>
      </c>
      <c r="K13" s="43">
        <f>'4. sz. tábla'!E5</f>
        <v>12370071</v>
      </c>
      <c r="L13" s="43">
        <f>'4. sz. tábla'!F5</f>
        <v>0</v>
      </c>
    </row>
    <row r="14" spans="1:14" ht="31.5" x14ac:dyDescent="0.25">
      <c r="A14" s="116"/>
      <c r="B14" s="115"/>
      <c r="C14" s="115"/>
      <c r="D14" s="115"/>
      <c r="E14" s="115"/>
      <c r="F14" s="115"/>
      <c r="G14" s="117" t="s">
        <v>228</v>
      </c>
      <c r="H14" s="114">
        <f>'4. sz. tábla'!B14</f>
        <v>150000</v>
      </c>
      <c r="I14" s="114">
        <f>'4. sz. tábla'!C14</f>
        <v>150000</v>
      </c>
      <c r="J14" s="114">
        <f>'4. sz. tábla'!D14</f>
        <v>150000</v>
      </c>
      <c r="K14" s="114">
        <f>'4. sz. tábla'!E14</f>
        <v>150000</v>
      </c>
      <c r="L14" s="114">
        <f>'4. sz. tábla'!F14</f>
        <v>0</v>
      </c>
    </row>
    <row r="15" spans="1:14" ht="31.5" x14ac:dyDescent="0.25">
      <c r="A15" s="112"/>
      <c r="B15" s="115"/>
      <c r="C15" s="115"/>
      <c r="D15" s="115"/>
      <c r="E15" s="115"/>
      <c r="F15" s="115"/>
      <c r="G15" s="113" t="s">
        <v>229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</row>
    <row r="16" spans="1:14" x14ac:dyDescent="0.25">
      <c r="A16" s="113"/>
      <c r="B16" s="115"/>
      <c r="C16" s="115"/>
      <c r="D16" s="115"/>
      <c r="E16" s="115"/>
      <c r="F16" s="115"/>
      <c r="G16" s="113" t="s">
        <v>221</v>
      </c>
      <c r="H16" s="43">
        <f>'1.sz.tábla'!B31</f>
        <v>3900984</v>
      </c>
      <c r="I16" s="43">
        <f>'1.sz.tábla'!C31</f>
        <v>4607775</v>
      </c>
      <c r="J16" s="43">
        <f>'1.sz.tábla'!D31</f>
        <v>7134044</v>
      </c>
      <c r="K16" s="43">
        <f>'1.sz.tábla'!E31</f>
        <v>6499044</v>
      </c>
      <c r="L16" s="43">
        <f>'1.sz.tábla'!F31</f>
        <v>-635000</v>
      </c>
    </row>
    <row r="17" spans="1:12" s="121" customFormat="1" x14ac:dyDescent="0.25">
      <c r="A17" s="118" t="s">
        <v>107</v>
      </c>
      <c r="B17" s="120">
        <f>SUM(B7:B16)</f>
        <v>61005434</v>
      </c>
      <c r="C17" s="120">
        <f>SUM(C7:C16)</f>
        <v>62116435</v>
      </c>
      <c r="D17" s="120">
        <f>SUM(D7:D16)</f>
        <v>70059675</v>
      </c>
      <c r="E17" s="120">
        <f>SUM(E7:E16)</f>
        <v>70823315</v>
      </c>
      <c r="F17" s="120">
        <f>SUM(F7:F16)</f>
        <v>763640</v>
      </c>
      <c r="G17" s="118" t="s">
        <v>108</v>
      </c>
      <c r="H17" s="120">
        <f>H7+H8+H9+H10+H11+H16</f>
        <v>74134978</v>
      </c>
      <c r="I17" s="120">
        <f>I7+I8+I9+I10+I11+I16</f>
        <v>76365321</v>
      </c>
      <c r="J17" s="120">
        <f>J7+J8+J9+J10+J11+J16</f>
        <v>80908561</v>
      </c>
      <c r="K17" s="120">
        <f>K7+K8+K9+K10+K11+K16</f>
        <v>81037201</v>
      </c>
      <c r="L17" s="120">
        <f>L7+L8+L9+L10+L11+L16</f>
        <v>128640</v>
      </c>
    </row>
    <row r="18" spans="1:12" s="121" customFormat="1" x14ac:dyDescent="0.25">
      <c r="A18" s="118" t="s">
        <v>109</v>
      </c>
      <c r="B18" s="120">
        <f>B17-H17</f>
        <v>-13129544</v>
      </c>
      <c r="C18" s="120">
        <f>C17-L17</f>
        <v>61987795</v>
      </c>
      <c r="D18" s="120">
        <f>D17-M17</f>
        <v>70059675</v>
      </c>
      <c r="E18" s="120">
        <f>E17-N17</f>
        <v>70823315</v>
      </c>
      <c r="F18" s="120">
        <f>F17-L17</f>
        <v>635000</v>
      </c>
      <c r="G18" s="118" t="s">
        <v>110</v>
      </c>
      <c r="H18" s="119"/>
      <c r="I18" s="119"/>
      <c r="J18" s="119"/>
      <c r="K18" s="119"/>
      <c r="L18" s="119"/>
    </row>
    <row r="19" spans="1:12" s="121" customFormat="1" ht="31.5" x14ac:dyDescent="0.25">
      <c r="A19" s="118" t="s">
        <v>111</v>
      </c>
      <c r="B19" s="120">
        <f>SUM(B20)</f>
        <v>38541663</v>
      </c>
      <c r="C19" s="120">
        <f>SUM(C20)</f>
        <v>42894625</v>
      </c>
      <c r="D19" s="120">
        <f>SUM(D20)</f>
        <v>42894625</v>
      </c>
      <c r="E19" s="120">
        <f>SUM(E20)</f>
        <v>42894625</v>
      </c>
      <c r="F19" s="120">
        <f>SUM(F20)</f>
        <v>0</v>
      </c>
      <c r="G19" s="118" t="s">
        <v>112</v>
      </c>
      <c r="H19" s="122">
        <f>SUM(H20:H21)</f>
        <v>1691641</v>
      </c>
      <c r="I19" s="122">
        <f>SUM(I20:I21)</f>
        <v>1691641</v>
      </c>
      <c r="J19" s="122">
        <f>SUM(J20:J21)</f>
        <v>1691641</v>
      </c>
      <c r="K19" s="122">
        <f>SUM(K20:K21)</f>
        <v>1727641</v>
      </c>
      <c r="L19" s="122">
        <f>SUM(L20:L21)</f>
        <v>36000</v>
      </c>
    </row>
    <row r="20" spans="1:12" x14ac:dyDescent="0.25">
      <c r="A20" s="113" t="s">
        <v>113</v>
      </c>
      <c r="B20" s="43">
        <f>'2.sz.tábla'!B79</f>
        <v>38541663</v>
      </c>
      <c r="C20" s="43">
        <f>'2.sz.tábla'!C79</f>
        <v>42894625</v>
      </c>
      <c r="D20" s="43">
        <f>'2.sz.tábla'!D79</f>
        <v>42894625</v>
      </c>
      <c r="E20" s="43">
        <f>'2.sz.tábla'!E79</f>
        <v>42894625</v>
      </c>
      <c r="F20" s="43">
        <f>'2.sz.tábla'!F79</f>
        <v>0</v>
      </c>
      <c r="G20" s="113" t="s">
        <v>231</v>
      </c>
      <c r="H20" s="43">
        <f>'1.sz.tábla'!B36</f>
        <v>1691641</v>
      </c>
      <c r="I20" s="43">
        <f>'1.sz.tábla'!C36</f>
        <v>1691641</v>
      </c>
      <c r="J20" s="43">
        <f>'1.sz.tábla'!D36</f>
        <v>1691641</v>
      </c>
      <c r="K20" s="43">
        <f>'1.sz.tábla'!E36</f>
        <v>1727641</v>
      </c>
      <c r="L20" s="43">
        <f>'1.sz.tábla'!F36</f>
        <v>36000</v>
      </c>
    </row>
    <row r="21" spans="1:12" s="121" customFormat="1" ht="31.5" x14ac:dyDescent="0.25">
      <c r="A21" s="118" t="s">
        <v>114</v>
      </c>
      <c r="B21" s="214">
        <f>SUM(B22:B25)</f>
        <v>544230</v>
      </c>
      <c r="C21" s="214">
        <f>SUM(C22:C25)</f>
        <v>544230</v>
      </c>
      <c r="D21" s="214">
        <f>SUM(D22:D25)</f>
        <v>544230</v>
      </c>
      <c r="E21" s="214">
        <f>SUM(E22:E25)</f>
        <v>580230</v>
      </c>
      <c r="F21" s="120">
        <f>SUM(F22:F25)</f>
        <v>36000</v>
      </c>
      <c r="G21" s="113" t="s">
        <v>232</v>
      </c>
      <c r="H21" s="115"/>
      <c r="I21" s="115"/>
      <c r="J21" s="115"/>
      <c r="K21" s="115"/>
      <c r="L21" s="115"/>
    </row>
    <row r="22" spans="1:12" x14ac:dyDescent="0.25">
      <c r="A22" s="113" t="s">
        <v>115</v>
      </c>
      <c r="B22" s="115"/>
      <c r="C22" s="115"/>
      <c r="D22" s="115"/>
      <c r="E22" s="115"/>
      <c r="F22" s="115"/>
      <c r="G22" s="113" t="s">
        <v>233</v>
      </c>
      <c r="H22" s="115"/>
      <c r="I22" s="115"/>
      <c r="J22" s="115"/>
      <c r="K22" s="115"/>
      <c r="L22" s="115"/>
    </row>
    <row r="23" spans="1:12" x14ac:dyDescent="0.25">
      <c r="A23" s="113" t="s">
        <v>116</v>
      </c>
      <c r="B23" s="115"/>
      <c r="C23" s="115"/>
      <c r="D23" s="115"/>
      <c r="E23" s="115"/>
      <c r="F23" s="115"/>
      <c r="G23" s="117"/>
      <c r="H23" s="115"/>
      <c r="I23" s="115"/>
      <c r="J23" s="115"/>
      <c r="K23" s="115"/>
      <c r="L23" s="115"/>
    </row>
    <row r="24" spans="1:12" x14ac:dyDescent="0.25">
      <c r="A24" s="113" t="s">
        <v>291</v>
      </c>
      <c r="B24" s="43">
        <f>'2.sz.tábla'!B93</f>
        <v>544230</v>
      </c>
      <c r="C24" s="43">
        <f>'2.sz.tábla'!C93</f>
        <v>544230</v>
      </c>
      <c r="D24" s="43">
        <f>'2.sz.tábla'!D93</f>
        <v>544230</v>
      </c>
      <c r="E24" s="43">
        <f>'2.sz.tábla'!E93</f>
        <v>580230</v>
      </c>
      <c r="F24" s="43">
        <f>'2.sz.tábla'!F93</f>
        <v>36000</v>
      </c>
      <c r="G24" s="117"/>
      <c r="H24" s="115"/>
      <c r="I24" s="115"/>
      <c r="J24" s="115"/>
      <c r="K24" s="115"/>
      <c r="L24" s="115"/>
    </row>
    <row r="25" spans="1:12" x14ac:dyDescent="0.25">
      <c r="A25" s="113" t="s">
        <v>321</v>
      </c>
      <c r="B25" s="43">
        <f>'2.sz.tábla'!B92</f>
        <v>0</v>
      </c>
      <c r="C25" s="43">
        <f>'2.sz.tábla'!C92</f>
        <v>0</v>
      </c>
      <c r="D25" s="43">
        <f>'2.sz.tábla'!D92</f>
        <v>0</v>
      </c>
      <c r="E25" s="43">
        <f>'2.sz.tábla'!E92</f>
        <v>0</v>
      </c>
      <c r="F25" s="43">
        <f>'2.sz.tábla'!F92</f>
        <v>0</v>
      </c>
      <c r="G25" s="117"/>
      <c r="H25" s="115"/>
      <c r="I25" s="115"/>
      <c r="J25" s="115"/>
      <c r="K25" s="115"/>
      <c r="L25" s="115"/>
    </row>
    <row r="26" spans="1:12" ht="16.5" thickBot="1" x14ac:dyDescent="0.3">
      <c r="A26" s="123" t="s">
        <v>117</v>
      </c>
      <c r="B26" s="124">
        <f>B17+B19+B21</f>
        <v>100091327</v>
      </c>
      <c r="C26" s="124">
        <f>C17+C19+C21</f>
        <v>105555290</v>
      </c>
      <c r="D26" s="124">
        <f>D17+D19+D21</f>
        <v>113498530</v>
      </c>
      <c r="E26" s="124">
        <f>E17+E19+E21</f>
        <v>114298170</v>
      </c>
      <c r="F26" s="124">
        <f>F17+F19+F21</f>
        <v>799640</v>
      </c>
      <c r="G26" s="123" t="s">
        <v>118</v>
      </c>
      <c r="H26" s="124">
        <f>H19+H17</f>
        <v>75826619</v>
      </c>
      <c r="I26" s="124">
        <f>I19+I17</f>
        <v>78056962</v>
      </c>
      <c r="J26" s="124">
        <f>J19+J17</f>
        <v>82600202</v>
      </c>
      <c r="K26" s="124">
        <f>K19+K17</f>
        <v>82764842</v>
      </c>
      <c r="L26" s="124">
        <f>L19+L17</f>
        <v>164640</v>
      </c>
    </row>
    <row r="28" spans="1:12" ht="15.75" customHeight="1" x14ac:dyDescent="0.25">
      <c r="A28" s="316" t="s">
        <v>399</v>
      </c>
      <c r="B28" s="316"/>
      <c r="C28" s="316"/>
      <c r="D28" s="316"/>
      <c r="E28" s="316"/>
      <c r="F28" s="316"/>
      <c r="G28" s="316"/>
      <c r="H28" s="316"/>
      <c r="I28" s="213"/>
      <c r="J28" s="297"/>
      <c r="K28" s="298"/>
      <c r="L28" s="102"/>
    </row>
    <row r="30" spans="1:12" s="104" customFormat="1" ht="31.5" x14ac:dyDescent="0.25">
      <c r="A30" s="118" t="s">
        <v>119</v>
      </c>
      <c r="B30" s="4" t="str">
        <f>B6</f>
        <v>2018. évi eredeti előirányzat</v>
      </c>
      <c r="C30" s="4" t="str">
        <f t="shared" ref="C30:F30" si="1">C6</f>
        <v>I. Módosítás</v>
      </c>
      <c r="D30" s="4" t="str">
        <f t="shared" si="1"/>
        <v>II. Módosítás</v>
      </c>
      <c r="E30" s="4" t="str">
        <f>E6</f>
        <v>III. Módosítás</v>
      </c>
      <c r="F30" s="4" t="str">
        <f t="shared" si="1"/>
        <v>Eltérés</v>
      </c>
      <c r="G30" s="118" t="s">
        <v>120</v>
      </c>
      <c r="H30" s="4" t="str">
        <f>H6</f>
        <v>2018. évi eredeti előirányzat</v>
      </c>
      <c r="I30" s="4" t="str">
        <f t="shared" ref="I30:L30" si="2">I6</f>
        <v>I. Módosítás</v>
      </c>
      <c r="J30" s="4" t="str">
        <f t="shared" si="2"/>
        <v>II. Módosítás</v>
      </c>
      <c r="K30" s="4" t="s">
        <v>401</v>
      </c>
      <c r="L30" s="4" t="str">
        <f t="shared" si="2"/>
        <v>Eltérés</v>
      </c>
    </row>
    <row r="31" spans="1:12" ht="31.5" x14ac:dyDescent="0.25">
      <c r="A31" s="112" t="s">
        <v>121</v>
      </c>
      <c r="B31" s="43">
        <f>'1.sz.tábla'!B8</f>
        <v>0</v>
      </c>
      <c r="C31" s="43">
        <f>'1.sz.tábla'!C8</f>
        <v>0</v>
      </c>
      <c r="D31" s="43">
        <f>'1.sz.tábla'!D8</f>
        <v>0</v>
      </c>
      <c r="E31" s="43">
        <f>'1.sz.tábla'!E8</f>
        <v>0</v>
      </c>
      <c r="F31" s="43">
        <f>'1.sz.tábla'!F8</f>
        <v>0</v>
      </c>
      <c r="G31" s="113" t="s">
        <v>122</v>
      </c>
      <c r="H31" s="43">
        <f>'1.sz.tábla'!B27</f>
        <v>2400000</v>
      </c>
      <c r="I31" s="43">
        <f>'1.sz.tábla'!C27</f>
        <v>5067000</v>
      </c>
      <c r="J31" s="43">
        <f>'1.sz.tábla'!D27</f>
        <v>5767000</v>
      </c>
      <c r="K31" s="43">
        <f>'1.sz.tábla'!E27</f>
        <v>6402000</v>
      </c>
      <c r="L31" s="43">
        <f>'1.sz.tábla'!F27</f>
        <v>635000</v>
      </c>
    </row>
    <row r="32" spans="1:12" x14ac:dyDescent="0.25">
      <c r="A32" s="113" t="s">
        <v>123</v>
      </c>
      <c r="B32" s="43">
        <v>0</v>
      </c>
      <c r="C32" s="43">
        <f>'1.sz.tábla'!C11:F11</f>
        <v>177480</v>
      </c>
      <c r="D32" s="43">
        <f>'1.sz.tábla'!D11:G11</f>
        <v>177480</v>
      </c>
      <c r="E32" s="43">
        <f>'1.sz.tábla'!E11:H11</f>
        <v>177480</v>
      </c>
      <c r="F32" s="43">
        <f>'1.sz.tábla'!F11:G11</f>
        <v>0</v>
      </c>
      <c r="G32" s="113" t="s">
        <v>124</v>
      </c>
      <c r="H32" s="43"/>
      <c r="I32" s="43"/>
      <c r="J32" s="43"/>
      <c r="K32" s="43"/>
      <c r="L32" s="43"/>
    </row>
    <row r="33" spans="1:12" x14ac:dyDescent="0.25">
      <c r="A33" s="113" t="s">
        <v>125</v>
      </c>
      <c r="B33" s="43">
        <f>'1.sz.tábla'!B13</f>
        <v>0</v>
      </c>
      <c r="C33" s="43">
        <f>'1.sz.tábla'!C13</f>
        <v>0</v>
      </c>
      <c r="D33" s="43">
        <f>'1.sz.tábla'!D13</f>
        <v>0</v>
      </c>
      <c r="E33" s="43">
        <f>'1.sz.tábla'!E13</f>
        <v>0</v>
      </c>
      <c r="F33" s="43">
        <v>0</v>
      </c>
      <c r="G33" s="113" t="s">
        <v>126</v>
      </c>
      <c r="H33" s="43">
        <f>'1.sz.tábla'!B28</f>
        <v>21789708</v>
      </c>
      <c r="I33" s="43">
        <f>'1.sz.tábla'!C28</f>
        <v>22533808</v>
      </c>
      <c r="J33" s="43">
        <f>'1.sz.tábla'!D28</f>
        <v>25233808</v>
      </c>
      <c r="K33" s="43">
        <f>'1.sz.tábla'!E28</f>
        <v>25233808</v>
      </c>
      <c r="L33" s="43">
        <f>'1.sz.tábla'!F28</f>
        <v>0</v>
      </c>
    </row>
    <row r="34" spans="1:12" x14ac:dyDescent="0.25">
      <c r="A34" s="113"/>
      <c r="B34" s="115"/>
      <c r="C34" s="115"/>
      <c r="D34" s="115"/>
      <c r="E34" s="115"/>
      <c r="F34" s="115"/>
      <c r="G34" s="113" t="s">
        <v>127</v>
      </c>
      <c r="H34" s="43">
        <f>SUM(H35:H38)</f>
        <v>75000</v>
      </c>
      <c r="I34" s="43">
        <f>SUM(I35:I38)</f>
        <v>75000</v>
      </c>
      <c r="J34" s="43">
        <f>SUM(J35:J38)</f>
        <v>75000</v>
      </c>
      <c r="K34" s="43">
        <f>SUM(K35:K38)</f>
        <v>75000</v>
      </c>
      <c r="L34" s="43">
        <f>SUM(L35:L38)</f>
        <v>0</v>
      </c>
    </row>
    <row r="35" spans="1:12" ht="31.5" x14ac:dyDescent="0.25">
      <c r="A35" s="113"/>
      <c r="B35" s="115"/>
      <c r="C35" s="115"/>
      <c r="D35" s="115"/>
      <c r="E35" s="115"/>
      <c r="F35" s="115"/>
      <c r="G35" s="113" t="s">
        <v>128</v>
      </c>
      <c r="H35" s="43"/>
      <c r="I35" s="43"/>
      <c r="J35" s="43"/>
      <c r="K35" s="43"/>
      <c r="L35" s="43"/>
    </row>
    <row r="36" spans="1:12" ht="27" customHeight="1" x14ac:dyDescent="0.25">
      <c r="A36" s="113"/>
      <c r="B36" s="115"/>
      <c r="C36" s="115"/>
      <c r="D36" s="115"/>
      <c r="E36" s="115"/>
      <c r="F36" s="115"/>
      <c r="G36" s="288" t="s">
        <v>129</v>
      </c>
      <c r="H36" s="43">
        <f>'5.sz.tábla '!B28</f>
        <v>75000</v>
      </c>
      <c r="I36" s="43">
        <f>'5.sz.tábla '!C28</f>
        <v>75000</v>
      </c>
      <c r="J36" s="43">
        <f>'5.sz.tábla '!D28</f>
        <v>75000</v>
      </c>
      <c r="K36" s="43">
        <f>'5.sz.tábla '!E28</f>
        <v>75000</v>
      </c>
      <c r="L36" s="43">
        <f>'5.sz.tábla '!F28</f>
        <v>0</v>
      </c>
    </row>
    <row r="37" spans="1:12" ht="31.5" x14ac:dyDescent="0.25">
      <c r="A37" s="113"/>
      <c r="B37" s="115"/>
      <c r="C37" s="115"/>
      <c r="D37" s="115"/>
      <c r="E37" s="115"/>
      <c r="F37" s="115"/>
      <c r="G37" s="113" t="s">
        <v>234</v>
      </c>
      <c r="H37" s="125"/>
      <c r="I37" s="115"/>
      <c r="J37" s="115"/>
      <c r="K37" s="115"/>
      <c r="L37" s="115"/>
    </row>
    <row r="38" spans="1:12" ht="31.5" x14ac:dyDescent="0.25">
      <c r="A38" s="113"/>
      <c r="B38" s="115"/>
      <c r="C38" s="115"/>
      <c r="D38" s="115"/>
      <c r="E38" s="115"/>
      <c r="F38" s="115"/>
      <c r="G38" s="113" t="s">
        <v>130</v>
      </c>
      <c r="H38" s="125"/>
      <c r="I38" s="115"/>
      <c r="J38" s="115"/>
      <c r="K38" s="115"/>
      <c r="L38" s="115"/>
    </row>
    <row r="39" spans="1:12" s="121" customFormat="1" x14ac:dyDescent="0.25">
      <c r="A39" s="118" t="s">
        <v>131</v>
      </c>
      <c r="B39" s="119">
        <f>SUM(B31:B37)</f>
        <v>0</v>
      </c>
      <c r="C39" s="120">
        <f t="shared" ref="C39:F39" si="3">SUM(C31:C37)</f>
        <v>177480</v>
      </c>
      <c r="D39" s="120">
        <f t="shared" si="3"/>
        <v>177480</v>
      </c>
      <c r="E39" s="120">
        <f t="shared" si="3"/>
        <v>177480</v>
      </c>
      <c r="F39" s="115">
        <f t="shared" si="3"/>
        <v>0</v>
      </c>
      <c r="G39" s="118" t="s">
        <v>132</v>
      </c>
      <c r="H39" s="120">
        <f>SUM(H31:H34)</f>
        <v>24264708</v>
      </c>
      <c r="I39" s="120">
        <f>SUM(I31:I34)</f>
        <v>27675808</v>
      </c>
      <c r="J39" s="120">
        <f>SUM(J31:J34)</f>
        <v>31075808</v>
      </c>
      <c r="K39" s="120">
        <f>SUM(K31:K34)</f>
        <v>31710808</v>
      </c>
      <c r="L39" s="120">
        <f>SUM(L31:L34)</f>
        <v>635000</v>
      </c>
    </row>
    <row r="40" spans="1:12" s="121" customFormat="1" x14ac:dyDescent="0.25">
      <c r="A40" s="118" t="s">
        <v>133</v>
      </c>
      <c r="B40" s="119"/>
      <c r="C40" s="119"/>
      <c r="D40" s="119"/>
      <c r="E40" s="119"/>
      <c r="F40" s="119"/>
      <c r="G40" s="118" t="s">
        <v>134</v>
      </c>
      <c r="H40" s="120">
        <f>B39-H39</f>
        <v>-24264708</v>
      </c>
      <c r="I40" s="120">
        <f>C39-I39</f>
        <v>-27498328</v>
      </c>
      <c r="J40" s="120">
        <f>D39-J39</f>
        <v>-30898328</v>
      </c>
      <c r="K40" s="120">
        <f>E39-K39</f>
        <v>-31533328</v>
      </c>
      <c r="L40" s="120">
        <f>F39-L39</f>
        <v>-635000</v>
      </c>
    </row>
    <row r="41" spans="1:12" s="121" customFormat="1" ht="31.5" x14ac:dyDescent="0.25">
      <c r="A41" s="118" t="s">
        <v>135</v>
      </c>
      <c r="B41" s="119"/>
      <c r="C41" s="119"/>
      <c r="D41" s="119"/>
      <c r="E41" s="119"/>
      <c r="F41" s="119"/>
      <c r="G41" s="118" t="s">
        <v>136</v>
      </c>
      <c r="H41" s="120">
        <f>SUM(H42:H43)</f>
        <v>0</v>
      </c>
      <c r="I41" s="119"/>
      <c r="J41" s="119"/>
      <c r="K41" s="119"/>
      <c r="L41" s="119"/>
    </row>
    <row r="42" spans="1:12" x14ac:dyDescent="0.25">
      <c r="A42" s="113" t="s">
        <v>137</v>
      </c>
      <c r="B42" s="115">
        <v>0</v>
      </c>
      <c r="C42" s="115">
        <v>0</v>
      </c>
      <c r="D42" s="115">
        <v>0</v>
      </c>
      <c r="E42" s="115">
        <v>0</v>
      </c>
      <c r="F42" s="115">
        <v>0</v>
      </c>
      <c r="G42" s="113" t="s">
        <v>138</v>
      </c>
      <c r="H42" s="125"/>
      <c r="I42" s="115"/>
      <c r="J42" s="115"/>
      <c r="K42" s="115"/>
      <c r="L42" s="115"/>
    </row>
    <row r="43" spans="1:12" ht="31.5" x14ac:dyDescent="0.25">
      <c r="A43" s="118" t="s">
        <v>139</v>
      </c>
      <c r="B43" s="119">
        <f>SUM(B44:B45)</f>
        <v>0</v>
      </c>
      <c r="C43" s="119">
        <f t="shared" ref="C43:F43" si="4">SUM(C44:C45)</f>
        <v>0</v>
      </c>
      <c r="D43" s="119">
        <f t="shared" si="4"/>
        <v>0</v>
      </c>
      <c r="E43" s="119">
        <f t="shared" si="4"/>
        <v>0</v>
      </c>
      <c r="F43" s="119">
        <f t="shared" si="4"/>
        <v>0</v>
      </c>
      <c r="G43" s="113" t="s">
        <v>140</v>
      </c>
      <c r="H43" s="125"/>
      <c r="I43" s="115"/>
      <c r="J43" s="115"/>
      <c r="K43" s="115"/>
      <c r="L43" s="115"/>
    </row>
    <row r="44" spans="1:12" x14ac:dyDescent="0.25">
      <c r="A44" s="113" t="s">
        <v>141</v>
      </c>
      <c r="B44" s="115"/>
      <c r="C44" s="115"/>
      <c r="D44" s="115"/>
      <c r="E44" s="115"/>
      <c r="F44" s="115"/>
      <c r="G44" s="113" t="s">
        <v>230</v>
      </c>
      <c r="H44" s="125"/>
      <c r="I44" s="115"/>
      <c r="J44" s="115"/>
      <c r="K44" s="115"/>
      <c r="L44" s="115"/>
    </row>
    <row r="45" spans="1:12" x14ac:dyDescent="0.25">
      <c r="A45" s="113" t="s">
        <v>142</v>
      </c>
      <c r="B45" s="115"/>
      <c r="C45" s="115"/>
      <c r="D45" s="115"/>
      <c r="E45" s="115"/>
      <c r="F45" s="115"/>
      <c r="G45" s="113"/>
      <c r="H45" s="125"/>
      <c r="I45" s="115"/>
      <c r="J45" s="115"/>
      <c r="K45" s="115"/>
      <c r="L45" s="115"/>
    </row>
    <row r="46" spans="1:12" s="121" customFormat="1" x14ac:dyDescent="0.25">
      <c r="A46" s="118" t="s">
        <v>143</v>
      </c>
      <c r="B46" s="119">
        <f>B39+B41+B43</f>
        <v>0</v>
      </c>
      <c r="C46" s="289">
        <f t="shared" ref="C46:E46" si="5">C39+C41+C43</f>
        <v>177480</v>
      </c>
      <c r="D46" s="289">
        <f t="shared" si="5"/>
        <v>177480</v>
      </c>
      <c r="E46" s="289">
        <f t="shared" si="5"/>
        <v>177480</v>
      </c>
      <c r="F46" s="289">
        <f>F39+F41+F43</f>
        <v>0</v>
      </c>
      <c r="G46" s="118" t="s">
        <v>144</v>
      </c>
      <c r="H46" s="120">
        <f>H39+H41</f>
        <v>24264708</v>
      </c>
      <c r="I46" s="120">
        <f>I39+I41</f>
        <v>27675808</v>
      </c>
      <c r="J46" s="120">
        <f>J39+J41</f>
        <v>31075808</v>
      </c>
      <c r="K46" s="120">
        <f>K39+K41</f>
        <v>31710808</v>
      </c>
      <c r="L46" s="120">
        <f>L39+L41</f>
        <v>635000</v>
      </c>
    </row>
    <row r="47" spans="1:12" x14ac:dyDescent="0.25">
      <c r="A47" s="127"/>
      <c r="B47" s="126"/>
      <c r="C47" s="126"/>
      <c r="D47" s="126"/>
      <c r="E47" s="126"/>
      <c r="F47" s="126"/>
      <c r="G47" s="127"/>
      <c r="H47" s="126"/>
      <c r="I47" s="126"/>
      <c r="J47" s="126"/>
      <c r="K47" s="126"/>
      <c r="L47" s="126"/>
    </row>
    <row r="48" spans="1:12" ht="15.75" customHeight="1" x14ac:dyDescent="0.25">
      <c r="A48" s="316" t="s">
        <v>387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</row>
    <row r="50" spans="1:12" s="104" customFormat="1" ht="31.5" x14ac:dyDescent="0.25">
      <c r="A50" s="118" t="s">
        <v>145</v>
      </c>
      <c r="B50" s="4" t="str">
        <f>B6</f>
        <v>2018. évi eredeti előirányzat</v>
      </c>
      <c r="C50" s="4" t="str">
        <f t="shared" ref="C50:F50" si="6">C6</f>
        <v>I. Módosítás</v>
      </c>
      <c r="D50" s="4" t="str">
        <f t="shared" si="6"/>
        <v>II. Módosítás</v>
      </c>
      <c r="E50" s="4" t="str">
        <f t="shared" si="6"/>
        <v>III. Módosítás</v>
      </c>
      <c r="F50" s="4" t="str">
        <f t="shared" si="6"/>
        <v>Eltérés</v>
      </c>
      <c r="G50" s="118" t="s">
        <v>146</v>
      </c>
      <c r="H50" s="4" t="str">
        <f>H6</f>
        <v>2018. évi eredeti előirányzat</v>
      </c>
      <c r="I50" s="4" t="str">
        <f>I6</f>
        <v>I. Módosítás</v>
      </c>
      <c r="J50" s="4" t="str">
        <f>J6</f>
        <v>II. Módosítás</v>
      </c>
      <c r="K50" s="4" t="str">
        <f>K6</f>
        <v>III. Módosítás</v>
      </c>
      <c r="L50" s="4" t="str">
        <f>L6</f>
        <v>Eltérés</v>
      </c>
    </row>
    <row r="51" spans="1:12" x14ac:dyDescent="0.25">
      <c r="A51" s="113" t="s">
        <v>147</v>
      </c>
      <c r="B51" s="125">
        <f>B17</f>
        <v>61005434</v>
      </c>
      <c r="C51" s="125">
        <f>C17</f>
        <v>62116435</v>
      </c>
      <c r="D51" s="125">
        <f>D17</f>
        <v>70059675</v>
      </c>
      <c r="E51" s="125">
        <f>E17</f>
        <v>70823315</v>
      </c>
      <c r="F51" s="125">
        <f>F17</f>
        <v>763640</v>
      </c>
      <c r="G51" s="113" t="s">
        <v>148</v>
      </c>
      <c r="H51" s="43">
        <f>H17</f>
        <v>74134978</v>
      </c>
      <c r="I51" s="43">
        <f>I17</f>
        <v>76365321</v>
      </c>
      <c r="J51" s="43">
        <f>J17</f>
        <v>80908561</v>
      </c>
      <c r="K51" s="43">
        <f>K17</f>
        <v>81037201</v>
      </c>
      <c r="L51" s="43">
        <f>L17</f>
        <v>128640</v>
      </c>
    </row>
    <row r="52" spans="1:12" x14ac:dyDescent="0.25">
      <c r="A52" s="113" t="s">
        <v>149</v>
      </c>
      <c r="B52" s="115"/>
      <c r="C52" s="216">
        <f>C39</f>
        <v>177480</v>
      </c>
      <c r="D52" s="216">
        <f>D39</f>
        <v>177480</v>
      </c>
      <c r="E52" s="216">
        <f>E39</f>
        <v>177480</v>
      </c>
      <c r="F52" s="216">
        <f>F39</f>
        <v>0</v>
      </c>
      <c r="G52" s="113" t="s">
        <v>150</v>
      </c>
      <c r="H52" s="43">
        <f>H39</f>
        <v>24264708</v>
      </c>
      <c r="I52" s="43">
        <f>I39</f>
        <v>27675808</v>
      </c>
      <c r="J52" s="43">
        <f>J39</f>
        <v>31075808</v>
      </c>
      <c r="K52" s="43">
        <f>K39</f>
        <v>31710808</v>
      </c>
      <c r="L52" s="43">
        <f>L39</f>
        <v>635000</v>
      </c>
    </row>
    <row r="53" spans="1:12" s="121" customFormat="1" x14ac:dyDescent="0.25">
      <c r="A53" s="118" t="s">
        <v>9</v>
      </c>
      <c r="B53" s="120">
        <f>SUM(B51:B52)</f>
        <v>61005434</v>
      </c>
      <c r="C53" s="120">
        <f>SUM(C51:C52)</f>
        <v>62293915</v>
      </c>
      <c r="D53" s="120">
        <f>SUM(D51:D52)</f>
        <v>70237155</v>
      </c>
      <c r="E53" s="120">
        <f>SUM(E51:E52)</f>
        <v>71000795</v>
      </c>
      <c r="F53" s="120">
        <f>SUM(F51:F52)</f>
        <v>763640</v>
      </c>
      <c r="G53" s="118" t="s">
        <v>21</v>
      </c>
      <c r="H53" s="44">
        <f>SUM(H51:H52)</f>
        <v>98399686</v>
      </c>
      <c r="I53" s="44">
        <f>SUM(I51:I52)</f>
        <v>104041129</v>
      </c>
      <c r="J53" s="44">
        <f>SUM(J51:J52)</f>
        <v>111984369</v>
      </c>
      <c r="K53" s="44">
        <f>SUM(K51:K52)</f>
        <v>112748009</v>
      </c>
      <c r="L53" s="44">
        <f>SUM(L51:L52)</f>
        <v>763640</v>
      </c>
    </row>
    <row r="54" spans="1:12" s="121" customFormat="1" x14ac:dyDescent="0.25">
      <c r="A54" s="118" t="s">
        <v>151</v>
      </c>
      <c r="B54" s="120"/>
      <c r="C54" s="44"/>
      <c r="D54" s="44"/>
      <c r="E54" s="44"/>
      <c r="F54" s="44"/>
      <c r="G54" s="118" t="s">
        <v>152</v>
      </c>
      <c r="H54" s="44">
        <f>H53-B53</f>
        <v>37394252</v>
      </c>
      <c r="I54" s="44">
        <f>I53-C53</f>
        <v>41747214</v>
      </c>
      <c r="J54" s="44">
        <f>J53-D53</f>
        <v>41747214</v>
      </c>
      <c r="K54" s="44">
        <f>K53-E53</f>
        <v>41747214</v>
      </c>
      <c r="L54" s="44">
        <f>L53-F53</f>
        <v>0</v>
      </c>
    </row>
    <row r="55" spans="1:12" s="121" customFormat="1" ht="31.5" x14ac:dyDescent="0.25">
      <c r="A55" s="118" t="s">
        <v>153</v>
      </c>
      <c r="B55" s="120">
        <f>SUM(B56:B57)</f>
        <v>38541663</v>
      </c>
      <c r="C55" s="120">
        <f>SUM(C56:C57)</f>
        <v>42894625</v>
      </c>
      <c r="D55" s="120">
        <f>SUM(D56:D57)</f>
        <v>42894625</v>
      </c>
      <c r="E55" s="120">
        <f>SUM(E56:E57)</f>
        <v>42894625</v>
      </c>
      <c r="F55" s="120">
        <f>SUM(F56:F57)</f>
        <v>0</v>
      </c>
      <c r="G55" s="118" t="s">
        <v>154</v>
      </c>
      <c r="H55" s="44">
        <f>SUM(H56:H57)</f>
        <v>1691641</v>
      </c>
      <c r="I55" s="44">
        <f>SUM(I56:I57)</f>
        <v>1691641</v>
      </c>
      <c r="J55" s="44">
        <f>SUM(J56:J57)</f>
        <v>1691641</v>
      </c>
      <c r="K55" s="44">
        <f>SUM(K56:K57)</f>
        <v>1727641</v>
      </c>
      <c r="L55" s="44">
        <f>SUM(L56:L57)</f>
        <v>36000</v>
      </c>
    </row>
    <row r="56" spans="1:12" ht="31.5" x14ac:dyDescent="0.25">
      <c r="A56" s="113" t="s">
        <v>111</v>
      </c>
      <c r="B56" s="125">
        <f>'2.sz.tábla'!B80</f>
        <v>19500000</v>
      </c>
      <c r="C56" s="125">
        <f>'2.sz.tábla'!C80</f>
        <v>23852962</v>
      </c>
      <c r="D56" s="125">
        <f>'2.sz.tábla'!D80</f>
        <v>23852962</v>
      </c>
      <c r="E56" s="125">
        <f>'2.sz.tábla'!E80</f>
        <v>23852962</v>
      </c>
      <c r="F56" s="125">
        <f>F19</f>
        <v>0</v>
      </c>
      <c r="G56" s="113" t="s">
        <v>155</v>
      </c>
      <c r="H56" s="43">
        <f>H19</f>
        <v>1691641</v>
      </c>
      <c r="I56" s="43">
        <f>I19</f>
        <v>1691641</v>
      </c>
      <c r="J56" s="43">
        <f>J19</f>
        <v>1691641</v>
      </c>
      <c r="K56" s="43">
        <f>K19</f>
        <v>1727641</v>
      </c>
      <c r="L56" s="43">
        <f>L19</f>
        <v>36000</v>
      </c>
    </row>
    <row r="57" spans="1:12" ht="31.5" x14ac:dyDescent="0.25">
      <c r="A57" s="113" t="s">
        <v>135</v>
      </c>
      <c r="B57" s="125">
        <f>'2.sz.tábla'!B81</f>
        <v>19041663</v>
      </c>
      <c r="C57" s="125">
        <f>'2.sz.tábla'!C81</f>
        <v>19041663</v>
      </c>
      <c r="D57" s="125">
        <f>'2.sz.tábla'!D81</f>
        <v>19041663</v>
      </c>
      <c r="E57" s="125">
        <f>'2.sz.tábla'!E81</f>
        <v>19041663</v>
      </c>
      <c r="F57" s="43">
        <f>F41</f>
        <v>0</v>
      </c>
      <c r="G57" s="113" t="s">
        <v>156</v>
      </c>
      <c r="H57" s="43">
        <f>H41</f>
        <v>0</v>
      </c>
      <c r="I57" s="43">
        <v>0</v>
      </c>
      <c r="J57" s="43">
        <v>0</v>
      </c>
      <c r="K57" s="43">
        <v>0</v>
      </c>
      <c r="L57" s="43">
        <v>0</v>
      </c>
    </row>
    <row r="58" spans="1:12" s="121" customFormat="1" x14ac:dyDescent="0.25">
      <c r="A58" s="118" t="s">
        <v>157</v>
      </c>
      <c r="B58" s="44">
        <f>SUM(B59:B60)</f>
        <v>544230</v>
      </c>
      <c r="C58" s="44">
        <f>SUM(C59:C60)</f>
        <v>544230</v>
      </c>
      <c r="D58" s="44">
        <f>SUM(D59:D60)</f>
        <v>544230</v>
      </c>
      <c r="E58" s="44">
        <f>SUM(E59:E60)</f>
        <v>580230</v>
      </c>
      <c r="F58" s="44">
        <f>SUM(F59:F60)</f>
        <v>36000</v>
      </c>
      <c r="G58" s="118"/>
      <c r="H58" s="118"/>
      <c r="I58" s="118"/>
      <c r="J58" s="118"/>
      <c r="K58" s="118"/>
      <c r="L58" s="118"/>
    </row>
    <row r="59" spans="1:12" ht="31.5" x14ac:dyDescent="0.25">
      <c r="A59" s="113" t="s">
        <v>114</v>
      </c>
      <c r="B59" s="43">
        <f>B21</f>
        <v>544230</v>
      </c>
      <c r="C59" s="43">
        <f>C21</f>
        <v>544230</v>
      </c>
      <c r="D59" s="43">
        <f>D21</f>
        <v>544230</v>
      </c>
      <c r="E59" s="43">
        <f>E21</f>
        <v>580230</v>
      </c>
      <c r="F59" s="43">
        <f>F21</f>
        <v>36000</v>
      </c>
      <c r="G59" s="113"/>
      <c r="H59" s="115"/>
      <c r="I59" s="115"/>
      <c r="J59" s="115"/>
      <c r="K59" s="115"/>
      <c r="L59" s="115"/>
    </row>
    <row r="60" spans="1:12" ht="31.5" x14ac:dyDescent="0.25">
      <c r="A60" s="113" t="s">
        <v>139</v>
      </c>
      <c r="B60" s="43">
        <f>B43</f>
        <v>0</v>
      </c>
      <c r="C60" s="43">
        <f>C43</f>
        <v>0</v>
      </c>
      <c r="D60" s="43">
        <f>D43</f>
        <v>0</v>
      </c>
      <c r="E60" s="43">
        <f>E43</f>
        <v>0</v>
      </c>
      <c r="F60" s="43">
        <f>F43</f>
        <v>0</v>
      </c>
      <c r="G60" s="118"/>
      <c r="H60" s="119"/>
      <c r="I60" s="119"/>
      <c r="J60" s="119"/>
      <c r="K60" s="119"/>
      <c r="L60" s="119"/>
    </row>
    <row r="61" spans="1:12" s="121" customFormat="1" x14ac:dyDescent="0.25">
      <c r="A61" s="118" t="s">
        <v>71</v>
      </c>
      <c r="B61" s="44">
        <f>B53+B55+B58</f>
        <v>100091327</v>
      </c>
      <c r="C61" s="44">
        <f>C53+C55+C58</f>
        <v>105732770</v>
      </c>
      <c r="D61" s="44">
        <f>D53+D55+D58</f>
        <v>113676010</v>
      </c>
      <c r="E61" s="44">
        <f>E53+E55+E58</f>
        <v>114475650</v>
      </c>
      <c r="F61" s="44">
        <f>F53+F55+F58</f>
        <v>799640</v>
      </c>
      <c r="G61" s="118" t="s">
        <v>158</v>
      </c>
      <c r="H61" s="44">
        <f>H53+H55</f>
        <v>100091327</v>
      </c>
      <c r="I61" s="44">
        <f>I53+I55</f>
        <v>105732770</v>
      </c>
      <c r="J61" s="44">
        <f>J53+J55</f>
        <v>113676010</v>
      </c>
      <c r="K61" s="44">
        <f>K53+K55</f>
        <v>114475650</v>
      </c>
      <c r="L61" s="44">
        <f>L53+L55</f>
        <v>799640</v>
      </c>
    </row>
    <row r="62" spans="1:12" x14ac:dyDescent="0.25">
      <c r="A62" s="104" t="s">
        <v>159</v>
      </c>
    </row>
  </sheetData>
  <sheetProtection selectLockedCells="1" selectUnlockedCells="1"/>
  <mergeCells count="3">
    <mergeCell ref="A28:H28"/>
    <mergeCell ref="A4:L4"/>
    <mergeCell ref="A48:L48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51" firstPageNumber="0" orientation="landscape" r:id="rId1"/>
  <headerFooter alignWithMargins="0">
    <oddHeader>&amp;L&amp;"Times New Roman,Normál"&amp;12Pécsely Község Önkormányzata&amp;C&amp;"Times New Roman,Normál"&amp;12 6. melléklet
Az önkormányzat 2018. évi költségvetéséről szóló .../2018. (.....) önkormányzati rendelet tervezethez</oddHeader>
  </headerFooter>
  <rowBreaks count="2" manualBreakCount="2">
    <brk id="26" max="7" man="1"/>
    <brk id="6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M91"/>
  <sheetViews>
    <sheetView view="pageLayout" zoomScaleNormal="100" zoomScaleSheetLayoutView="89" workbookViewId="0">
      <selection activeCell="A4" sqref="A4:L4"/>
    </sheetView>
  </sheetViews>
  <sheetFormatPr defaultColWidth="9.140625" defaultRowHeight="15.75" x14ac:dyDescent="0.25"/>
  <cols>
    <col min="1" max="1" width="45.7109375" style="129" customWidth="1"/>
    <col min="2" max="2" width="13.85546875" style="130" customWidth="1"/>
    <col min="3" max="3" width="13.28515625" style="130" customWidth="1"/>
    <col min="4" max="4" width="12.7109375" style="130" customWidth="1"/>
    <col min="5" max="5" width="13.7109375" style="130" customWidth="1"/>
    <col min="6" max="6" width="13.85546875" style="130" customWidth="1"/>
    <col min="7" max="7" width="45.85546875" style="130" customWidth="1"/>
    <col min="8" max="10" width="13.7109375" style="130" customWidth="1"/>
    <col min="11" max="11" width="16" style="130" customWidth="1"/>
    <col min="12" max="12" width="13.7109375" style="130" customWidth="1"/>
    <col min="13" max="16384" width="9.140625" style="130"/>
  </cols>
  <sheetData>
    <row r="2" spans="1:12" x14ac:dyDescent="0.25">
      <c r="G2" s="131"/>
    </row>
    <row r="4" spans="1:12" ht="15.75" customHeight="1" x14ac:dyDescent="0.25">
      <c r="A4" s="318" t="s">
        <v>371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6" spans="1:12" s="129" customFormat="1" ht="47.25" x14ac:dyDescent="0.25">
      <c r="A6" s="157" t="s">
        <v>100</v>
      </c>
      <c r="B6" s="4" t="s">
        <v>375</v>
      </c>
      <c r="C6" s="4" t="s">
        <v>376</v>
      </c>
      <c r="D6" s="4" t="s">
        <v>392</v>
      </c>
      <c r="E6" s="4" t="s">
        <v>401</v>
      </c>
      <c r="F6" s="4" t="s">
        <v>377</v>
      </c>
      <c r="G6" s="157" t="s">
        <v>101</v>
      </c>
      <c r="H6" s="4" t="s">
        <v>375</v>
      </c>
      <c r="I6" s="4" t="s">
        <v>376</v>
      </c>
      <c r="J6" s="4" t="s">
        <v>392</v>
      </c>
      <c r="K6" s="4" t="s">
        <v>401</v>
      </c>
      <c r="L6" s="4" t="s">
        <v>377</v>
      </c>
    </row>
    <row r="7" spans="1:12" s="129" customFormat="1" x14ac:dyDescent="0.25">
      <c r="A7" s="133" t="s">
        <v>160</v>
      </c>
      <c r="B7" s="170"/>
      <c r="C7" s="171"/>
      <c r="D7" s="171"/>
      <c r="E7" s="171"/>
      <c r="F7" s="171"/>
      <c r="G7" s="154" t="s">
        <v>14</v>
      </c>
      <c r="H7" s="173"/>
      <c r="I7" s="135"/>
      <c r="J7" s="135"/>
      <c r="K7" s="135"/>
      <c r="L7" s="135"/>
    </row>
    <row r="8" spans="1:12" ht="31.5" x14ac:dyDescent="0.25">
      <c r="A8" s="168" t="s">
        <v>161</v>
      </c>
      <c r="B8" s="164">
        <f>'6. sz. tábla '!B7</f>
        <v>33655434</v>
      </c>
      <c r="C8" s="164">
        <f>'6. sz. tábla '!C7</f>
        <v>34003915</v>
      </c>
      <c r="D8" s="164">
        <f>'6. sz. tábla '!D7</f>
        <v>41947155</v>
      </c>
      <c r="E8" s="164">
        <f>'6. sz. tábla '!E7</f>
        <v>42710795</v>
      </c>
      <c r="F8" s="164">
        <f>'6. sz. tábla '!F7</f>
        <v>763640</v>
      </c>
      <c r="G8" s="163" t="s">
        <v>87</v>
      </c>
      <c r="H8" s="164">
        <f>'6. sz. tábla '!H7</f>
        <v>17970857</v>
      </c>
      <c r="I8" s="164">
        <f>'6. sz. tábla '!I7</f>
        <v>19118089</v>
      </c>
      <c r="J8" s="164">
        <f>'6. sz. tábla '!J7</f>
        <v>19418089</v>
      </c>
      <c r="K8" s="164">
        <f>'6. sz. tábla '!K7</f>
        <v>19498089</v>
      </c>
      <c r="L8" s="164">
        <f>'6. sz. tábla '!L7</f>
        <v>80000</v>
      </c>
    </row>
    <row r="9" spans="1:12" ht="17.25" customHeight="1" x14ac:dyDescent="0.25">
      <c r="A9" s="163" t="s">
        <v>103</v>
      </c>
      <c r="B9" s="43">
        <f>'6. sz. tábla '!B8</f>
        <v>20250000</v>
      </c>
      <c r="C9" s="43">
        <f>'6. sz. tábla '!C8</f>
        <v>20250000</v>
      </c>
      <c r="D9" s="43">
        <f>'6. sz. tábla '!D8</f>
        <v>20250000</v>
      </c>
      <c r="E9" s="43">
        <f>'6. sz. tábla '!E8</f>
        <v>20250000</v>
      </c>
      <c r="F9" s="43">
        <f>'6. sz. tábla '!F8</f>
        <v>0</v>
      </c>
      <c r="G9" s="163" t="s">
        <v>84</v>
      </c>
      <c r="H9" s="164">
        <f>'6. sz. tábla '!H8</f>
        <v>3557552</v>
      </c>
      <c r="I9" s="164">
        <f>'6. sz. tábla '!I8</f>
        <v>3713552</v>
      </c>
      <c r="J9" s="164">
        <f>'6. sz. tábla '!J8</f>
        <v>3772052</v>
      </c>
      <c r="K9" s="164">
        <f>'6. sz. tábla '!K8</f>
        <v>3780052</v>
      </c>
      <c r="L9" s="164">
        <f>'6. sz. tábla '!L8</f>
        <v>8000</v>
      </c>
    </row>
    <row r="10" spans="1:12" x14ac:dyDescent="0.25">
      <c r="A10" s="163" t="s">
        <v>104</v>
      </c>
      <c r="B10" s="164">
        <f>'6. sz. tábla '!B9</f>
        <v>7100000</v>
      </c>
      <c r="C10" s="164">
        <f>'6. sz. tábla '!C9</f>
        <v>7862520</v>
      </c>
      <c r="D10" s="164">
        <f>'6. sz. tábla '!D9</f>
        <v>7862520</v>
      </c>
      <c r="E10" s="164">
        <f>'6. sz. tábla '!E9</f>
        <v>7862520</v>
      </c>
      <c r="F10" s="164">
        <f>'6. sz. tábla '!F9</f>
        <v>0</v>
      </c>
      <c r="G10" s="163" t="s">
        <v>85</v>
      </c>
      <c r="H10" s="164">
        <f>'6. sz. tábla '!H9</f>
        <v>30091000</v>
      </c>
      <c r="I10" s="164">
        <f>'6. sz. tábla '!I9</f>
        <v>30311320</v>
      </c>
      <c r="J10" s="164">
        <f>'6. sz. tábla '!J9</f>
        <v>34333000</v>
      </c>
      <c r="K10" s="164">
        <f>'6. sz. tábla '!K9</f>
        <v>35008640</v>
      </c>
      <c r="L10" s="164">
        <f>'6. sz. tábla '!L9</f>
        <v>675640</v>
      </c>
    </row>
    <row r="11" spans="1:12" ht="31.5" x14ac:dyDescent="0.25">
      <c r="A11" s="112" t="s">
        <v>106</v>
      </c>
      <c r="B11" s="164">
        <f>'6. sz. tábla '!B10</f>
        <v>0</v>
      </c>
      <c r="C11" s="164">
        <f>'6. sz. tábla '!C10</f>
        <v>0</v>
      </c>
      <c r="D11" s="164">
        <f>'6. sz. tábla '!D10</f>
        <v>0</v>
      </c>
      <c r="E11" s="164">
        <f>'6. sz. tábla '!E10</f>
        <v>0</v>
      </c>
      <c r="F11" s="164">
        <f>'6. sz. tábla '!F10</f>
        <v>0</v>
      </c>
      <c r="G11" s="163" t="s">
        <v>88</v>
      </c>
      <c r="H11" s="164">
        <f>'6. sz. tábla '!H10</f>
        <v>3704000</v>
      </c>
      <c r="I11" s="164">
        <f>'6. sz. tábla '!I10</f>
        <v>3704000</v>
      </c>
      <c r="J11" s="164">
        <f>'6. sz. tábla '!J10</f>
        <v>3704000</v>
      </c>
      <c r="K11" s="164">
        <f>'6. sz. tábla '!K10</f>
        <v>3704000</v>
      </c>
      <c r="L11" s="164">
        <f>'6. sz. tábla '!L10</f>
        <v>0</v>
      </c>
    </row>
    <row r="12" spans="1:12" x14ac:dyDescent="0.25">
      <c r="A12" s="163"/>
      <c r="B12" s="164"/>
      <c r="C12" s="164"/>
      <c r="D12" s="164"/>
      <c r="E12" s="164"/>
      <c r="F12" s="164"/>
      <c r="G12" s="163" t="s">
        <v>86</v>
      </c>
      <c r="H12" s="164"/>
      <c r="I12" s="164"/>
      <c r="J12" s="164"/>
      <c r="K12" s="164"/>
      <c r="L12" s="164"/>
    </row>
    <row r="13" spans="1:12" x14ac:dyDescent="0.25">
      <c r="A13" s="163"/>
      <c r="B13" s="164"/>
      <c r="C13" s="164"/>
      <c r="D13" s="164"/>
      <c r="E13" s="164"/>
      <c r="F13" s="164"/>
      <c r="G13" s="113" t="s">
        <v>226</v>
      </c>
      <c r="H13" s="164">
        <f>'6. sz. tábla '!H12</f>
        <v>27305</v>
      </c>
      <c r="I13" s="164">
        <f>'6. sz. tábla '!I12</f>
        <v>27305</v>
      </c>
      <c r="J13" s="164">
        <f>'6. sz. tábla '!J12</f>
        <v>27305</v>
      </c>
      <c r="K13" s="164">
        <f>'6. sz. tábla '!K12</f>
        <v>27305</v>
      </c>
      <c r="L13" s="164">
        <f>'6. sz. tábla '!L12</f>
        <v>0</v>
      </c>
    </row>
    <row r="14" spans="1:12" ht="31.5" x14ac:dyDescent="0.25">
      <c r="A14" s="163"/>
      <c r="B14" s="164"/>
      <c r="C14" s="164"/>
      <c r="D14" s="164"/>
      <c r="E14" s="164"/>
      <c r="F14" s="164"/>
      <c r="G14" s="113" t="s">
        <v>227</v>
      </c>
      <c r="H14" s="164">
        <f>'4. sz. tábla'!B5</f>
        <v>14733280</v>
      </c>
      <c r="I14" s="164">
        <f>'4. sz. tábla'!C5</f>
        <v>14733280</v>
      </c>
      <c r="J14" s="164">
        <f>'4. sz. tábla'!D5</f>
        <v>12370071</v>
      </c>
      <c r="K14" s="164">
        <f>'4. sz. tábla'!E5</f>
        <v>12370071</v>
      </c>
      <c r="L14" s="164">
        <f>'4. sz. tábla'!F5</f>
        <v>0</v>
      </c>
    </row>
    <row r="15" spans="1:12" ht="31.5" x14ac:dyDescent="0.25">
      <c r="A15" s="168"/>
      <c r="B15" s="169"/>
      <c r="C15" s="169"/>
      <c r="D15" s="169"/>
      <c r="E15" s="169"/>
      <c r="F15" s="169"/>
      <c r="G15" s="117" t="s">
        <v>228</v>
      </c>
      <c r="H15" s="164">
        <f>'4. sz. tábla'!B14</f>
        <v>150000</v>
      </c>
      <c r="I15" s="164">
        <f>'4. sz. tábla'!C14</f>
        <v>150000</v>
      </c>
      <c r="J15" s="164">
        <f>'4. sz. tábla'!D14</f>
        <v>150000</v>
      </c>
      <c r="K15" s="164">
        <f>'4. sz. tábla'!E14</f>
        <v>150000</v>
      </c>
      <c r="L15" s="164">
        <f>'4. sz. tábla'!F14</f>
        <v>0</v>
      </c>
    </row>
    <row r="16" spans="1:12" ht="31.5" x14ac:dyDescent="0.25">
      <c r="A16" s="112"/>
      <c r="B16" s="164"/>
      <c r="C16" s="164"/>
      <c r="D16" s="164"/>
      <c r="E16" s="164"/>
      <c r="F16" s="164"/>
      <c r="G16" s="113" t="s">
        <v>229</v>
      </c>
      <c r="H16" s="164">
        <f>'6. sz. tábla '!H15</f>
        <v>0</v>
      </c>
      <c r="I16" s="164">
        <f>'6. sz. tábla '!I15</f>
        <v>0</v>
      </c>
      <c r="J16" s="164">
        <f>'6. sz. tábla '!J15</f>
        <v>0</v>
      </c>
      <c r="K16" s="164">
        <f>'6. sz. tábla '!K15</f>
        <v>0</v>
      </c>
      <c r="L16" s="164">
        <f>'6. sz. tábla '!L15</f>
        <v>0</v>
      </c>
    </row>
    <row r="17" spans="1:12" x14ac:dyDescent="0.25">
      <c r="A17" s="163"/>
      <c r="B17" s="164"/>
      <c r="C17" s="164"/>
      <c r="D17" s="164"/>
      <c r="E17" s="164"/>
      <c r="F17" s="164"/>
      <c r="G17" s="113" t="s">
        <v>221</v>
      </c>
      <c r="H17" s="164">
        <f>'6. sz. tábla '!H16</f>
        <v>3900984</v>
      </c>
      <c r="I17" s="164">
        <f>'6. sz. tábla '!I16</f>
        <v>4607775</v>
      </c>
      <c r="J17" s="164">
        <f>'6. sz. tábla '!J16</f>
        <v>7134044</v>
      </c>
      <c r="K17" s="164">
        <f>'6. sz. tábla '!K16</f>
        <v>6499044</v>
      </c>
      <c r="L17" s="164">
        <f>'6. sz. tábla '!L16</f>
        <v>-635000</v>
      </c>
    </row>
    <row r="18" spans="1:12" s="145" customFormat="1" ht="31.5" x14ac:dyDescent="0.25">
      <c r="A18" s="157" t="s">
        <v>162</v>
      </c>
      <c r="B18" s="158">
        <f>SUM(B8:B17)</f>
        <v>61005434</v>
      </c>
      <c r="C18" s="158">
        <f>SUM(C8:C17)</f>
        <v>62116435</v>
      </c>
      <c r="D18" s="158">
        <f>SUM(D8:D17)</f>
        <v>70059675</v>
      </c>
      <c r="E18" s="158">
        <f>SUM(E8:E17)</f>
        <v>70823315</v>
      </c>
      <c r="F18" s="158">
        <f>SUM(F8:F17)</f>
        <v>763640</v>
      </c>
      <c r="G18" s="157" t="s">
        <v>163</v>
      </c>
      <c r="H18" s="158">
        <f>SUM(H8:H17)</f>
        <v>74134978</v>
      </c>
      <c r="I18" s="158">
        <f>SUM(I8:I17)</f>
        <v>76365321</v>
      </c>
      <c r="J18" s="158">
        <f>SUM(J8:J17)</f>
        <v>80908561</v>
      </c>
      <c r="K18" s="158">
        <f>SUM(K8:K17)</f>
        <v>81037201</v>
      </c>
      <c r="L18" s="158">
        <f>SUM(L8:L17)</f>
        <v>128640</v>
      </c>
    </row>
    <row r="19" spans="1:12" x14ac:dyDescent="0.25">
      <c r="A19" s="165" t="s">
        <v>164</v>
      </c>
      <c r="B19" s="164">
        <f>'1.sz.tábla'!B18</f>
        <v>39085893</v>
      </c>
      <c r="C19" s="164">
        <f>'1.sz.tábla'!C18</f>
        <v>43438855</v>
      </c>
      <c r="D19" s="164">
        <f>'1.sz.tábla'!D18</f>
        <v>43438855</v>
      </c>
      <c r="E19" s="164">
        <f>'1.sz.tábla'!E18</f>
        <v>43474855</v>
      </c>
      <c r="F19" s="164">
        <f>'1.sz.tábla'!F18</f>
        <v>36000</v>
      </c>
      <c r="G19" s="165" t="s">
        <v>165</v>
      </c>
      <c r="H19" s="164">
        <f>'1.sz.tábla'!B37</f>
        <v>1691641</v>
      </c>
      <c r="I19" s="164">
        <f>'1.sz.tábla'!C37</f>
        <v>1691641</v>
      </c>
      <c r="J19" s="164">
        <f>'1.sz.tábla'!D37</f>
        <v>1691641</v>
      </c>
      <c r="K19" s="164">
        <f>'1.sz.tábla'!E37</f>
        <v>1727641</v>
      </c>
      <c r="L19" s="164">
        <f>'1.sz.tábla'!F37</f>
        <v>36000</v>
      </c>
    </row>
    <row r="20" spans="1:12" ht="47.25" x14ac:dyDescent="0.25">
      <c r="A20" s="157" t="s">
        <v>166</v>
      </c>
      <c r="B20" s="158">
        <f>B18+B19</f>
        <v>100091327</v>
      </c>
      <c r="C20" s="158">
        <f>C18+C19</f>
        <v>105555290</v>
      </c>
      <c r="D20" s="158">
        <f>D18+D19</f>
        <v>113498530</v>
      </c>
      <c r="E20" s="158">
        <f>E18+E19</f>
        <v>114298170</v>
      </c>
      <c r="F20" s="158">
        <f>F18+F19</f>
        <v>799640</v>
      </c>
      <c r="G20" s="157" t="s">
        <v>167</v>
      </c>
      <c r="H20" s="158">
        <f>H18+H19</f>
        <v>75826619</v>
      </c>
      <c r="I20" s="158">
        <f>I18+I19</f>
        <v>78056962</v>
      </c>
      <c r="J20" s="158">
        <f>J18+J19</f>
        <v>82600202</v>
      </c>
      <c r="K20" s="158">
        <f>K18+K19</f>
        <v>82764842</v>
      </c>
      <c r="L20" s="158">
        <f>L18+L19</f>
        <v>164640</v>
      </c>
    </row>
    <row r="21" spans="1:12" x14ac:dyDescent="0.25">
      <c r="A21" s="133" t="s">
        <v>168</v>
      </c>
      <c r="B21" s="147"/>
      <c r="C21" s="147"/>
      <c r="D21" s="147"/>
      <c r="E21" s="147"/>
      <c r="F21" s="147"/>
      <c r="G21" s="147" t="s">
        <v>16</v>
      </c>
      <c r="H21" s="149"/>
      <c r="I21" s="149"/>
      <c r="J21" s="149"/>
      <c r="K21" s="149"/>
      <c r="L21" s="149"/>
    </row>
    <row r="22" spans="1:12" ht="31.5" x14ac:dyDescent="0.25">
      <c r="A22" s="112" t="s">
        <v>121</v>
      </c>
      <c r="B22" s="164">
        <f>'6. sz. tábla '!B31</f>
        <v>0</v>
      </c>
      <c r="C22" s="164">
        <f>'6. sz. tábla '!C31</f>
        <v>0</v>
      </c>
      <c r="D22" s="164">
        <f>'6. sz. tábla '!D31</f>
        <v>0</v>
      </c>
      <c r="E22" s="164">
        <f>'6. sz. tábla '!E31</f>
        <v>0</v>
      </c>
      <c r="F22" s="164">
        <f>'6. sz. tábla '!F31</f>
        <v>0</v>
      </c>
      <c r="G22" s="163" t="s">
        <v>122</v>
      </c>
      <c r="H22" s="164">
        <f>'6. sz. tábla '!H31</f>
        <v>2400000</v>
      </c>
      <c r="I22" s="164">
        <f>'6. sz. tábla '!I31</f>
        <v>5067000</v>
      </c>
      <c r="J22" s="164">
        <f>'6. sz. tábla '!J31</f>
        <v>5767000</v>
      </c>
      <c r="K22" s="164">
        <f>'6. sz. tábla '!K31</f>
        <v>6402000</v>
      </c>
      <c r="L22" s="164">
        <f>'6. sz. tábla '!L31</f>
        <v>635000</v>
      </c>
    </row>
    <row r="23" spans="1:12" x14ac:dyDescent="0.25">
      <c r="A23" s="113" t="s">
        <v>169</v>
      </c>
      <c r="B23" s="164">
        <f>'6. sz. tábla '!B32</f>
        <v>0</v>
      </c>
      <c r="C23" s="164">
        <f>'6. sz. tábla '!C32</f>
        <v>177480</v>
      </c>
      <c r="D23" s="164">
        <f>'6. sz. tábla '!D32</f>
        <v>177480</v>
      </c>
      <c r="E23" s="164">
        <f>'6. sz. tábla '!E32</f>
        <v>177480</v>
      </c>
      <c r="F23" s="164">
        <f>'6. sz. tábla '!F32</f>
        <v>0</v>
      </c>
      <c r="G23" s="163" t="s">
        <v>124</v>
      </c>
      <c r="H23" s="164"/>
      <c r="I23" s="164"/>
      <c r="J23" s="164"/>
      <c r="K23" s="164"/>
      <c r="L23" s="164"/>
    </row>
    <row r="24" spans="1:12" ht="31.5" x14ac:dyDescent="0.25">
      <c r="A24" s="113" t="s">
        <v>170</v>
      </c>
      <c r="B24" s="164">
        <f>'6. sz. tábla '!B33</f>
        <v>0</v>
      </c>
      <c r="C24" s="164">
        <f>'6. sz. tábla '!C33</f>
        <v>0</v>
      </c>
      <c r="D24" s="164">
        <f>'6. sz. tábla '!D33</f>
        <v>0</v>
      </c>
      <c r="E24" s="164">
        <f>'6. sz. tábla '!E33</f>
        <v>0</v>
      </c>
      <c r="F24" s="164">
        <f>'6. sz. tábla '!F33</f>
        <v>0</v>
      </c>
      <c r="G24" s="163" t="s">
        <v>126</v>
      </c>
      <c r="H24" s="164">
        <f>'6. sz. tábla '!H33</f>
        <v>21789708</v>
      </c>
      <c r="I24" s="164">
        <f>'6. sz. tábla '!I33</f>
        <v>22533808</v>
      </c>
      <c r="J24" s="164">
        <f>'6. sz. tábla '!J33</f>
        <v>25233808</v>
      </c>
      <c r="K24" s="164">
        <f>'6. sz. tábla '!K33</f>
        <v>25233808</v>
      </c>
      <c r="L24" s="164">
        <f>'6. sz. tábla '!L33</f>
        <v>0</v>
      </c>
    </row>
    <row r="25" spans="1:12" x14ac:dyDescent="0.25">
      <c r="A25" s="163"/>
      <c r="B25" s="164"/>
      <c r="C25" s="164"/>
      <c r="D25" s="164"/>
      <c r="E25" s="164"/>
      <c r="F25" s="164"/>
      <c r="G25" s="163" t="s">
        <v>171</v>
      </c>
      <c r="H25" s="164">
        <f>'5.sz.tábla '!B29</f>
        <v>75000</v>
      </c>
      <c r="I25" s="164">
        <f>'5.sz.tábla '!C29</f>
        <v>75000</v>
      </c>
      <c r="J25" s="164">
        <f>'5.sz.tábla '!D29</f>
        <v>75000</v>
      </c>
      <c r="K25" s="164">
        <f>'5.sz.tábla '!E29</f>
        <v>75000</v>
      </c>
      <c r="L25" s="164">
        <f>'5.sz.tábla '!F29</f>
        <v>0</v>
      </c>
    </row>
    <row r="26" spans="1:12" ht="31.5" x14ac:dyDescent="0.25">
      <c r="A26" s="163"/>
      <c r="B26" s="164"/>
      <c r="C26" s="164"/>
      <c r="D26" s="164"/>
      <c r="E26" s="164"/>
      <c r="F26" s="164"/>
      <c r="G26" s="163" t="s">
        <v>172</v>
      </c>
      <c r="H26" s="164"/>
      <c r="I26" s="164"/>
      <c r="J26" s="164"/>
      <c r="K26" s="164"/>
      <c r="L26" s="164"/>
    </row>
    <row r="27" spans="1:12" ht="31.5" x14ac:dyDescent="0.25">
      <c r="A27" s="163"/>
      <c r="B27" s="164"/>
      <c r="C27" s="164"/>
      <c r="D27" s="164"/>
      <c r="E27" s="164"/>
      <c r="F27" s="164"/>
      <c r="G27" s="166" t="s">
        <v>173</v>
      </c>
      <c r="H27" s="164"/>
      <c r="I27" s="164"/>
      <c r="J27" s="164"/>
      <c r="K27" s="164"/>
      <c r="L27" s="164"/>
    </row>
    <row r="28" spans="1:12" ht="31.5" x14ac:dyDescent="0.25">
      <c r="A28" s="165"/>
      <c r="B28" s="164"/>
      <c r="C28" s="164"/>
      <c r="D28" s="164"/>
      <c r="E28" s="164"/>
      <c r="F28" s="164"/>
      <c r="G28" s="163" t="s">
        <v>174</v>
      </c>
      <c r="H28" s="164"/>
      <c r="I28" s="164"/>
      <c r="J28" s="164"/>
      <c r="K28" s="164"/>
      <c r="L28" s="164"/>
    </row>
    <row r="29" spans="1:12" s="145" customFormat="1" ht="31.5" x14ac:dyDescent="0.25">
      <c r="A29" s="157" t="s">
        <v>175</v>
      </c>
      <c r="B29" s="158">
        <f>SUM(B22:B28)</f>
        <v>0</v>
      </c>
      <c r="C29" s="158">
        <f t="shared" ref="C29:E29" si="0">SUM(C22:C28)</f>
        <v>177480</v>
      </c>
      <c r="D29" s="158">
        <f t="shared" si="0"/>
        <v>177480</v>
      </c>
      <c r="E29" s="158">
        <f t="shared" si="0"/>
        <v>177480</v>
      </c>
      <c r="F29" s="158">
        <f>SUM(F22:F28)</f>
        <v>0</v>
      </c>
      <c r="G29" s="157" t="s">
        <v>163</v>
      </c>
      <c r="H29" s="158">
        <f>SUM(H22:H28)</f>
        <v>24264708</v>
      </c>
      <c r="I29" s="158">
        <f>SUM(I22:I28)</f>
        <v>27675808</v>
      </c>
      <c r="J29" s="158">
        <f>SUM(J22:J28)</f>
        <v>31075808</v>
      </c>
      <c r="K29" s="158">
        <f>SUM(K22:K28)</f>
        <v>31710808</v>
      </c>
      <c r="L29" s="158">
        <f>SUM(L22:L28)</f>
        <v>635000</v>
      </c>
    </row>
    <row r="30" spans="1:12" ht="15" customHeight="1" x14ac:dyDescent="0.25">
      <c r="A30" s="165" t="s">
        <v>164</v>
      </c>
      <c r="B30" s="164"/>
      <c r="C30" s="164"/>
      <c r="D30" s="164"/>
      <c r="E30" s="164"/>
      <c r="F30" s="164"/>
      <c r="G30" s="165" t="s">
        <v>165</v>
      </c>
      <c r="H30" s="164"/>
      <c r="I30" s="164"/>
      <c r="J30" s="164"/>
      <c r="K30" s="164"/>
      <c r="L30" s="164"/>
    </row>
    <row r="31" spans="1:12" ht="47.25" x14ac:dyDescent="0.25">
      <c r="A31" s="157" t="s">
        <v>176</v>
      </c>
      <c r="B31" s="158">
        <f>B29+B30</f>
        <v>0</v>
      </c>
      <c r="C31" s="158">
        <f t="shared" ref="C31:E31" si="1">C29+C30</f>
        <v>177480</v>
      </c>
      <c r="D31" s="158">
        <f t="shared" si="1"/>
        <v>177480</v>
      </c>
      <c r="E31" s="158">
        <f t="shared" si="1"/>
        <v>177480</v>
      </c>
      <c r="F31" s="158">
        <f>F29+F30</f>
        <v>0</v>
      </c>
      <c r="G31" s="157" t="s">
        <v>177</v>
      </c>
      <c r="H31" s="158">
        <f>H29+H30</f>
        <v>24264708</v>
      </c>
      <c r="I31" s="158">
        <f>I29+I30</f>
        <v>27675808</v>
      </c>
      <c r="J31" s="158">
        <f>J29+J30</f>
        <v>31075808</v>
      </c>
      <c r="K31" s="158">
        <f>K29+K30</f>
        <v>31710808</v>
      </c>
      <c r="L31" s="158">
        <f>L29+L30</f>
        <v>635000</v>
      </c>
    </row>
    <row r="32" spans="1:12" x14ac:dyDescent="0.25">
      <c r="B32" s="153">
        <f>B31+B20</f>
        <v>100091327</v>
      </c>
      <c r="C32" s="153">
        <f>C31+C20</f>
        <v>105732770</v>
      </c>
      <c r="D32" s="153">
        <f>D31+D20</f>
        <v>113676010</v>
      </c>
      <c r="E32" s="153">
        <f>E31+E20</f>
        <v>114475650</v>
      </c>
      <c r="F32" s="153">
        <f>F31+F20</f>
        <v>799640</v>
      </c>
      <c r="H32" s="153">
        <f>H31+H20</f>
        <v>100091327</v>
      </c>
      <c r="I32" s="153">
        <f>I31+I20</f>
        <v>105732770</v>
      </c>
      <c r="J32" s="153">
        <f>J31+J20</f>
        <v>113676010</v>
      </c>
      <c r="K32" s="153">
        <f>K31+K20</f>
        <v>114475650</v>
      </c>
      <c r="L32" s="153">
        <f>L31+L20</f>
        <v>799640</v>
      </c>
    </row>
    <row r="33" spans="1:12" ht="15.75" customHeight="1" x14ac:dyDescent="0.25">
      <c r="A33" s="318" t="s">
        <v>372</v>
      </c>
      <c r="B33" s="318"/>
      <c r="C33" s="318"/>
      <c r="D33" s="318"/>
      <c r="E33" s="318"/>
      <c r="F33" s="318"/>
      <c r="G33" s="318"/>
    </row>
    <row r="35" spans="1:12" s="129" customFormat="1" ht="47.25" x14ac:dyDescent="0.25">
      <c r="A35" s="157" t="s">
        <v>100</v>
      </c>
      <c r="B35" s="4" t="str">
        <f>B6</f>
        <v>2018. évi eredeti előirányzat</v>
      </c>
      <c r="C35" s="4" t="str">
        <f t="shared" ref="C35:F35" si="2">C6</f>
        <v>I. Módosítás</v>
      </c>
      <c r="D35" s="4" t="str">
        <f t="shared" si="2"/>
        <v>II. Módosítás</v>
      </c>
      <c r="E35" s="4" t="str">
        <f t="shared" si="2"/>
        <v>III. Módosítás</v>
      </c>
      <c r="F35" s="4" t="str">
        <f t="shared" si="2"/>
        <v>Eltérés</v>
      </c>
      <c r="G35" s="157" t="s">
        <v>101</v>
      </c>
      <c r="H35" s="4" t="str">
        <f>H6</f>
        <v>2018. évi eredeti előirányzat</v>
      </c>
      <c r="I35" s="4" t="str">
        <f t="shared" ref="I35:L35" si="3">I6</f>
        <v>I. Módosítás</v>
      </c>
      <c r="J35" s="4" t="str">
        <f t="shared" si="3"/>
        <v>II. Módosítás</v>
      </c>
      <c r="K35" s="4" t="str">
        <f t="shared" si="3"/>
        <v>III. Módosítás</v>
      </c>
      <c r="L35" s="4" t="str">
        <f t="shared" si="3"/>
        <v>Eltérés</v>
      </c>
    </row>
    <row r="36" spans="1:12" x14ac:dyDescent="0.25">
      <c r="A36" s="133" t="s">
        <v>160</v>
      </c>
      <c r="B36" s="170"/>
      <c r="C36" s="171"/>
      <c r="D36" s="171"/>
      <c r="E36" s="171"/>
      <c r="F36" s="171"/>
      <c r="G36" s="154" t="s">
        <v>14</v>
      </c>
      <c r="H36" s="172"/>
      <c r="I36" s="172"/>
      <c r="J36" s="172"/>
      <c r="K36" s="172"/>
      <c r="L36" s="172"/>
    </row>
    <row r="37" spans="1:12" ht="31.5" x14ac:dyDescent="0.25">
      <c r="A37" s="168" t="s">
        <v>161</v>
      </c>
      <c r="B37" s="164"/>
      <c r="C37" s="164"/>
      <c r="D37" s="164"/>
      <c r="E37" s="164"/>
      <c r="F37" s="164"/>
      <c r="G37" s="163" t="s">
        <v>87</v>
      </c>
      <c r="H37" s="164"/>
      <c r="I37" s="164"/>
      <c r="J37" s="164"/>
      <c r="K37" s="164"/>
      <c r="L37" s="164"/>
    </row>
    <row r="38" spans="1:12" x14ac:dyDescent="0.25">
      <c r="A38" s="163" t="s">
        <v>103</v>
      </c>
      <c r="B38" s="164"/>
      <c r="C38" s="164"/>
      <c r="D38" s="164"/>
      <c r="E38" s="164"/>
      <c r="F38" s="164"/>
      <c r="G38" s="163" t="s">
        <v>84</v>
      </c>
      <c r="H38" s="164"/>
      <c r="I38" s="164"/>
      <c r="J38" s="164"/>
      <c r="K38" s="164"/>
      <c r="L38" s="164"/>
    </row>
    <row r="39" spans="1:12" x14ac:dyDescent="0.25">
      <c r="A39" s="163" t="s">
        <v>104</v>
      </c>
      <c r="B39" s="164">
        <f>'2.sz.tábla'!B49</f>
        <v>0</v>
      </c>
      <c r="C39" s="164">
        <f>'2.sz.tábla'!C49</f>
        <v>720000</v>
      </c>
      <c r="D39" s="164">
        <f>'2.sz.tábla'!D49</f>
        <v>720000</v>
      </c>
      <c r="E39" s="164">
        <f>'2.sz.tábla'!E49</f>
        <v>720000</v>
      </c>
      <c r="F39" s="164">
        <f>'2.sz.tábla'!F49</f>
        <v>0</v>
      </c>
      <c r="G39" s="163" t="s">
        <v>85</v>
      </c>
      <c r="H39" s="164"/>
      <c r="I39" s="164"/>
      <c r="J39" s="164"/>
      <c r="K39" s="164"/>
      <c r="L39" s="164"/>
    </row>
    <row r="40" spans="1:12" ht="31.5" x14ac:dyDescent="0.25">
      <c r="A40" s="112" t="s">
        <v>106</v>
      </c>
      <c r="B40" s="164"/>
      <c r="C40" s="164"/>
      <c r="D40" s="164"/>
      <c r="E40" s="164"/>
      <c r="F40" s="164"/>
      <c r="G40" s="163" t="s">
        <v>88</v>
      </c>
      <c r="H40" s="164"/>
      <c r="I40" s="164"/>
      <c r="J40" s="164"/>
      <c r="K40" s="164"/>
      <c r="L40" s="164"/>
    </row>
    <row r="41" spans="1:12" x14ac:dyDescent="0.25">
      <c r="A41" s="163"/>
      <c r="B41" s="164"/>
      <c r="C41" s="164"/>
      <c r="D41" s="164"/>
      <c r="E41" s="164"/>
      <c r="F41" s="164"/>
      <c r="G41" s="163" t="s">
        <v>86</v>
      </c>
      <c r="H41" s="164"/>
      <c r="I41" s="164"/>
      <c r="J41" s="164"/>
      <c r="K41" s="164"/>
      <c r="L41" s="164"/>
    </row>
    <row r="42" spans="1:12" x14ac:dyDescent="0.25">
      <c r="A42" s="163"/>
      <c r="B42" s="164"/>
      <c r="C42" s="164"/>
      <c r="D42" s="164"/>
      <c r="E42" s="164"/>
      <c r="F42" s="164"/>
      <c r="G42" s="113" t="s">
        <v>226</v>
      </c>
      <c r="H42" s="164"/>
      <c r="I42" s="164"/>
      <c r="J42" s="164"/>
      <c r="K42" s="164"/>
      <c r="L42" s="164"/>
    </row>
    <row r="43" spans="1:12" ht="31.5" x14ac:dyDescent="0.25">
      <c r="A43" s="163"/>
      <c r="B43" s="164"/>
      <c r="C43" s="164"/>
      <c r="D43" s="164"/>
      <c r="E43" s="164"/>
      <c r="F43" s="164"/>
      <c r="G43" s="113" t="s">
        <v>227</v>
      </c>
      <c r="H43" s="164"/>
      <c r="I43" s="164"/>
      <c r="J43" s="164"/>
      <c r="K43" s="164"/>
      <c r="L43" s="164"/>
    </row>
    <row r="44" spans="1:12" ht="31.5" x14ac:dyDescent="0.25">
      <c r="A44" s="168"/>
      <c r="B44" s="169"/>
      <c r="C44" s="169"/>
      <c r="D44" s="169"/>
      <c r="E44" s="169"/>
      <c r="F44" s="169"/>
      <c r="G44" s="117" t="s">
        <v>228</v>
      </c>
      <c r="H44" s="164">
        <f>'4. sz. tábla'!B14</f>
        <v>150000</v>
      </c>
      <c r="I44" s="164">
        <f>'4. sz. tábla'!C14</f>
        <v>150000</v>
      </c>
      <c r="J44" s="164">
        <f>'4. sz. tábla'!D14</f>
        <v>150000</v>
      </c>
      <c r="K44" s="164">
        <f>'4. sz. tábla'!E14</f>
        <v>150000</v>
      </c>
      <c r="L44" s="164">
        <f>'4. sz. tábla'!F14</f>
        <v>0</v>
      </c>
    </row>
    <row r="45" spans="1:12" ht="31.5" x14ac:dyDescent="0.25">
      <c r="A45" s="112"/>
      <c r="B45" s="164"/>
      <c r="C45" s="164"/>
      <c r="D45" s="164"/>
      <c r="E45" s="164"/>
      <c r="F45" s="164"/>
      <c r="G45" s="113" t="s">
        <v>229</v>
      </c>
      <c r="H45" s="164"/>
      <c r="I45" s="164"/>
      <c r="J45" s="164"/>
      <c r="K45" s="164"/>
      <c r="L45" s="164"/>
    </row>
    <row r="46" spans="1:12" x14ac:dyDescent="0.25">
      <c r="A46" s="163"/>
      <c r="B46" s="164"/>
      <c r="C46" s="164"/>
      <c r="D46" s="164"/>
      <c r="E46" s="164"/>
      <c r="F46" s="164"/>
      <c r="G46" s="113" t="s">
        <v>221</v>
      </c>
      <c r="H46" s="164"/>
      <c r="I46" s="164"/>
      <c r="J46" s="164"/>
      <c r="K46" s="164"/>
      <c r="L46" s="164"/>
    </row>
    <row r="47" spans="1:12" ht="31.5" x14ac:dyDescent="0.25">
      <c r="A47" s="157" t="s">
        <v>178</v>
      </c>
      <c r="B47" s="158">
        <f>SUM(B37:B46)</f>
        <v>0</v>
      </c>
      <c r="C47" s="158">
        <f t="shared" ref="C47:F47" si="4">SUM(C37:C46)</f>
        <v>720000</v>
      </c>
      <c r="D47" s="158">
        <f t="shared" si="4"/>
        <v>720000</v>
      </c>
      <c r="E47" s="158">
        <f t="shared" si="4"/>
        <v>720000</v>
      </c>
      <c r="F47" s="158">
        <f t="shared" si="4"/>
        <v>0</v>
      </c>
      <c r="G47" s="157" t="s">
        <v>179</v>
      </c>
      <c r="H47" s="158">
        <f>SUM(H37:H46)</f>
        <v>150000</v>
      </c>
      <c r="I47" s="158">
        <f>SUM(I37:I46)</f>
        <v>150000</v>
      </c>
      <c r="J47" s="158">
        <f>SUM(J37:J46)</f>
        <v>150000</v>
      </c>
      <c r="K47" s="158">
        <f>SUM(K37:K46)</f>
        <v>150000</v>
      </c>
      <c r="L47" s="158">
        <f>SUM(L37:L46)</f>
        <v>0</v>
      </c>
    </row>
    <row r="48" spans="1:12" x14ac:dyDescent="0.25">
      <c r="A48" s="165" t="s">
        <v>164</v>
      </c>
      <c r="B48" s="164"/>
      <c r="C48" s="164"/>
      <c r="D48" s="164"/>
      <c r="E48" s="164"/>
      <c r="F48" s="164"/>
      <c r="G48" s="165" t="s">
        <v>165</v>
      </c>
      <c r="H48" s="164"/>
      <c r="I48" s="164"/>
      <c r="J48" s="164"/>
      <c r="K48" s="164"/>
      <c r="L48" s="164"/>
    </row>
    <row r="49" spans="1:12" ht="47.25" x14ac:dyDescent="0.25">
      <c r="A49" s="157" t="s">
        <v>180</v>
      </c>
      <c r="B49" s="158">
        <f>B47+B48</f>
        <v>0</v>
      </c>
      <c r="C49" s="158">
        <f t="shared" ref="C49:F49" si="5">C47+C48</f>
        <v>720000</v>
      </c>
      <c r="D49" s="158">
        <f t="shared" si="5"/>
        <v>720000</v>
      </c>
      <c r="E49" s="158">
        <f t="shared" si="5"/>
        <v>720000</v>
      </c>
      <c r="F49" s="158">
        <f t="shared" si="5"/>
        <v>0</v>
      </c>
      <c r="G49" s="157" t="s">
        <v>181</v>
      </c>
      <c r="H49" s="158">
        <f>H47+H48</f>
        <v>150000</v>
      </c>
      <c r="I49" s="158">
        <f>I47+I48</f>
        <v>150000</v>
      </c>
      <c r="J49" s="158">
        <f>J47+J48</f>
        <v>150000</v>
      </c>
      <c r="K49" s="158">
        <f>K47+K48</f>
        <v>150000</v>
      </c>
      <c r="L49" s="158">
        <f>L47+L48</f>
        <v>0</v>
      </c>
    </row>
    <row r="50" spans="1:12" x14ac:dyDescent="0.25">
      <c r="A50" s="133" t="s">
        <v>168</v>
      </c>
      <c r="B50" s="147"/>
      <c r="C50" s="147"/>
      <c r="D50" s="147"/>
      <c r="E50" s="147"/>
      <c r="F50" s="147"/>
      <c r="G50" s="147" t="s">
        <v>16</v>
      </c>
      <c r="H50" s="149"/>
      <c r="I50" s="149"/>
      <c r="J50" s="149"/>
      <c r="K50" s="149"/>
      <c r="L50" s="149"/>
    </row>
    <row r="51" spans="1:12" ht="31.5" x14ac:dyDescent="0.25">
      <c r="A51" s="112" t="s">
        <v>121</v>
      </c>
      <c r="B51" s="164"/>
      <c r="C51" s="164"/>
      <c r="D51" s="164"/>
      <c r="E51" s="164"/>
      <c r="F51" s="164"/>
      <c r="G51" s="163" t="s">
        <v>122</v>
      </c>
      <c r="H51" s="164"/>
      <c r="I51" s="164"/>
      <c r="J51" s="164"/>
      <c r="K51" s="164"/>
      <c r="L51" s="164"/>
    </row>
    <row r="52" spans="1:12" x14ac:dyDescent="0.25">
      <c r="A52" s="113" t="s">
        <v>169</v>
      </c>
      <c r="B52" s="164"/>
      <c r="C52" s="164"/>
      <c r="D52" s="164"/>
      <c r="E52" s="164"/>
      <c r="F52" s="164"/>
      <c r="G52" s="163" t="s">
        <v>124</v>
      </c>
      <c r="H52" s="164"/>
      <c r="I52" s="164"/>
      <c r="J52" s="164"/>
      <c r="K52" s="164"/>
      <c r="L52" s="164"/>
    </row>
    <row r="53" spans="1:12" ht="31.5" x14ac:dyDescent="0.25">
      <c r="A53" s="113" t="s">
        <v>170</v>
      </c>
      <c r="B53" s="167"/>
      <c r="C53" s="167"/>
      <c r="D53" s="167"/>
      <c r="E53" s="167"/>
      <c r="F53" s="167"/>
      <c r="G53" s="163" t="s">
        <v>126</v>
      </c>
      <c r="H53" s="164"/>
      <c r="I53" s="164"/>
      <c r="J53" s="164"/>
      <c r="K53" s="164"/>
      <c r="L53" s="164"/>
    </row>
    <row r="54" spans="1:12" x14ac:dyDescent="0.25">
      <c r="A54" s="163"/>
      <c r="B54" s="164"/>
      <c r="C54" s="164"/>
      <c r="D54" s="164"/>
      <c r="E54" s="164"/>
      <c r="F54" s="164"/>
      <c r="G54" s="163" t="s">
        <v>171</v>
      </c>
      <c r="H54" s="164"/>
      <c r="I54" s="164"/>
      <c r="J54" s="164"/>
      <c r="K54" s="164"/>
      <c r="L54" s="164"/>
    </row>
    <row r="55" spans="1:12" ht="31.5" x14ac:dyDescent="0.25">
      <c r="A55" s="163"/>
      <c r="B55" s="164"/>
      <c r="C55" s="164"/>
      <c r="D55" s="164"/>
      <c r="E55" s="164"/>
      <c r="F55" s="164"/>
      <c r="G55" s="163" t="s">
        <v>172</v>
      </c>
      <c r="H55" s="164"/>
      <c r="I55" s="164"/>
      <c r="J55" s="164"/>
      <c r="K55" s="164"/>
      <c r="L55" s="164"/>
    </row>
    <row r="56" spans="1:12" ht="31.5" x14ac:dyDescent="0.25">
      <c r="A56" s="163"/>
      <c r="B56" s="164"/>
      <c r="C56" s="164"/>
      <c r="D56" s="164"/>
      <c r="E56" s="164"/>
      <c r="F56" s="164"/>
      <c r="G56" s="166" t="s">
        <v>173</v>
      </c>
      <c r="H56" s="164">
        <f>'5.sz.tábla '!B29</f>
        <v>75000</v>
      </c>
      <c r="I56" s="164">
        <f>'5.sz.tábla '!C29</f>
        <v>75000</v>
      </c>
      <c r="J56" s="164">
        <f>'5.sz.tábla '!D29</f>
        <v>75000</v>
      </c>
      <c r="K56" s="164">
        <f>'5.sz.tábla '!E29</f>
        <v>75000</v>
      </c>
      <c r="L56" s="164">
        <f>'5.sz.tábla '!F29</f>
        <v>0</v>
      </c>
    </row>
    <row r="57" spans="1:12" ht="31.5" x14ac:dyDescent="0.25">
      <c r="A57" s="165"/>
      <c r="B57" s="164"/>
      <c r="C57" s="164"/>
      <c r="D57" s="164"/>
      <c r="E57" s="164"/>
      <c r="F57" s="164"/>
      <c r="G57" s="113" t="s">
        <v>234</v>
      </c>
      <c r="H57" s="164"/>
      <c r="I57" s="164"/>
      <c r="J57" s="164"/>
      <c r="K57" s="164"/>
      <c r="L57" s="164"/>
    </row>
    <row r="58" spans="1:12" ht="31.5" x14ac:dyDescent="0.25">
      <c r="A58" s="165"/>
      <c r="B58" s="164"/>
      <c r="C58" s="164"/>
      <c r="D58" s="164"/>
      <c r="E58" s="164"/>
      <c r="F58" s="164"/>
      <c r="G58" s="113" t="s">
        <v>174</v>
      </c>
      <c r="H58" s="164"/>
      <c r="I58" s="164"/>
      <c r="J58" s="164"/>
      <c r="K58" s="164"/>
      <c r="L58" s="164"/>
    </row>
    <row r="59" spans="1:12" ht="31.5" x14ac:dyDescent="0.25">
      <c r="A59" s="157" t="s">
        <v>182</v>
      </c>
      <c r="B59" s="158">
        <f>SUM(B51:B57)</f>
        <v>0</v>
      </c>
      <c r="C59" s="158">
        <f t="shared" ref="C59:F59" si="6">SUM(C51:C57)</f>
        <v>0</v>
      </c>
      <c r="D59" s="158">
        <f t="shared" si="6"/>
        <v>0</v>
      </c>
      <c r="E59" s="158">
        <f t="shared" si="6"/>
        <v>0</v>
      </c>
      <c r="F59" s="158">
        <f t="shared" si="6"/>
        <v>0</v>
      </c>
      <c r="G59" s="157" t="s">
        <v>183</v>
      </c>
      <c r="H59" s="158">
        <f>SUM(H51:H58)</f>
        <v>75000</v>
      </c>
      <c r="I59" s="158">
        <f t="shared" ref="I59:K59" si="7">SUM(I51:I58)</f>
        <v>75000</v>
      </c>
      <c r="J59" s="158">
        <f t="shared" si="7"/>
        <v>75000</v>
      </c>
      <c r="K59" s="158">
        <f t="shared" si="7"/>
        <v>75000</v>
      </c>
      <c r="L59" s="158">
        <f>SUM(L51:L58)</f>
        <v>0</v>
      </c>
    </row>
    <row r="60" spans="1:12" x14ac:dyDescent="0.25">
      <c r="A60" s="165" t="s">
        <v>164</v>
      </c>
      <c r="B60" s="164"/>
      <c r="C60" s="164"/>
      <c r="D60" s="164"/>
      <c r="E60" s="164"/>
      <c r="F60" s="164"/>
      <c r="G60" s="165" t="s">
        <v>165</v>
      </c>
      <c r="H60" s="164"/>
      <c r="I60" s="164"/>
      <c r="J60" s="164"/>
      <c r="K60" s="164"/>
      <c r="L60" s="164"/>
    </row>
    <row r="61" spans="1:12" x14ac:dyDescent="0.25">
      <c r="A61" s="165"/>
      <c r="B61" s="164"/>
      <c r="C61" s="164"/>
      <c r="D61" s="164"/>
      <c r="E61" s="164"/>
      <c r="F61" s="164"/>
      <c r="G61" s="163"/>
      <c r="H61" s="164"/>
      <c r="I61" s="164"/>
      <c r="J61" s="164"/>
      <c r="K61" s="164"/>
      <c r="L61" s="164"/>
    </row>
    <row r="62" spans="1:12" ht="47.25" x14ac:dyDescent="0.25">
      <c r="A62" s="157" t="s">
        <v>184</v>
      </c>
      <c r="B62" s="158">
        <f>B59+B60</f>
        <v>0</v>
      </c>
      <c r="C62" s="158">
        <f t="shared" ref="C62:F62" si="8">C59+C60</f>
        <v>0</v>
      </c>
      <c r="D62" s="158">
        <f t="shared" si="8"/>
        <v>0</v>
      </c>
      <c r="E62" s="158">
        <f t="shared" si="8"/>
        <v>0</v>
      </c>
      <c r="F62" s="158">
        <f t="shared" si="8"/>
        <v>0</v>
      </c>
      <c r="G62" s="157" t="s">
        <v>185</v>
      </c>
      <c r="H62" s="158">
        <f>H59+H60</f>
        <v>75000</v>
      </c>
      <c r="I62" s="158">
        <f t="shared" ref="I62:K62" si="9">I59+I60</f>
        <v>75000</v>
      </c>
      <c r="J62" s="158">
        <f t="shared" si="9"/>
        <v>75000</v>
      </c>
      <c r="K62" s="158">
        <f t="shared" si="9"/>
        <v>75000</v>
      </c>
      <c r="L62" s="158">
        <f>L59+L60</f>
        <v>0</v>
      </c>
    </row>
    <row r="63" spans="1:12" x14ac:dyDescent="0.25">
      <c r="A63" s="154"/>
      <c r="B63" s="155">
        <f>B62+B49</f>
        <v>0</v>
      </c>
      <c r="C63" s="155">
        <f t="shared" ref="C63:E63" si="10">C62+C49</f>
        <v>720000</v>
      </c>
      <c r="D63" s="155">
        <f t="shared" si="10"/>
        <v>720000</v>
      </c>
      <c r="E63" s="155">
        <f t="shared" si="10"/>
        <v>720000</v>
      </c>
      <c r="F63" s="155">
        <f>F62+F49</f>
        <v>0</v>
      </c>
      <c r="G63" s="147"/>
      <c r="H63" s="153">
        <f>H62+H49</f>
        <v>225000</v>
      </c>
      <c r="I63" s="153">
        <f t="shared" ref="I63:K63" si="11">I62+I49</f>
        <v>225000</v>
      </c>
      <c r="J63" s="153">
        <f t="shared" si="11"/>
        <v>225000</v>
      </c>
      <c r="K63" s="153">
        <f t="shared" si="11"/>
        <v>225000</v>
      </c>
      <c r="L63" s="153">
        <f>L62+L49</f>
        <v>0</v>
      </c>
    </row>
    <row r="64" spans="1:12" ht="15.75" customHeight="1" x14ac:dyDescent="0.25">
      <c r="A64" s="318" t="s">
        <v>373</v>
      </c>
      <c r="B64" s="318"/>
      <c r="C64" s="318"/>
      <c r="D64" s="318"/>
      <c r="E64" s="318"/>
      <c r="F64" s="318"/>
      <c r="G64" s="318"/>
    </row>
    <row r="66" spans="1:12" s="129" customFormat="1" ht="47.25" x14ac:dyDescent="0.25">
      <c r="A66" s="132" t="s">
        <v>100</v>
      </c>
      <c r="B66" s="4" t="str">
        <f>B6</f>
        <v>2018. évi eredeti előirányzat</v>
      </c>
      <c r="C66" s="4" t="str">
        <f>C6</f>
        <v>I. Módosítás</v>
      </c>
      <c r="D66" s="4" t="str">
        <f>D6</f>
        <v>II. Módosítás</v>
      </c>
      <c r="E66" s="4" t="str">
        <f>E6</f>
        <v>III. Módosítás</v>
      </c>
      <c r="F66" s="4" t="str">
        <f>F6</f>
        <v>Eltérés</v>
      </c>
      <c r="G66" s="157" t="s">
        <v>101</v>
      </c>
      <c r="H66" s="4" t="str">
        <f>H6</f>
        <v>2018. évi eredeti előirányzat</v>
      </c>
      <c r="I66" s="4" t="str">
        <f t="shared" ref="I66:L66" si="12">I6</f>
        <v>I. Módosítás</v>
      </c>
      <c r="J66" s="4" t="str">
        <f t="shared" si="12"/>
        <v>II. Módosítás</v>
      </c>
      <c r="K66" s="4" t="str">
        <f t="shared" si="12"/>
        <v>III. Módosítás</v>
      </c>
      <c r="L66" s="4" t="str">
        <f t="shared" si="12"/>
        <v>Eltérés</v>
      </c>
    </row>
    <row r="67" spans="1:12" x14ac:dyDescent="0.25">
      <c r="A67" s="156" t="s">
        <v>160</v>
      </c>
      <c r="B67" s="170"/>
      <c r="C67" s="171"/>
      <c r="D67" s="171"/>
      <c r="E67" s="171"/>
      <c r="F67" s="171"/>
      <c r="G67" s="174" t="s">
        <v>14</v>
      </c>
      <c r="H67" s="172"/>
      <c r="I67" s="172"/>
      <c r="J67" s="172"/>
      <c r="K67" s="172"/>
      <c r="L67" s="172"/>
    </row>
    <row r="68" spans="1:12" ht="31.5" x14ac:dyDescent="0.25">
      <c r="A68" s="136" t="s">
        <v>161</v>
      </c>
      <c r="B68" s="164"/>
      <c r="C68" s="164"/>
      <c r="D68" s="164"/>
      <c r="E68" s="164"/>
      <c r="F68" s="164"/>
      <c r="G68" s="163" t="s">
        <v>87</v>
      </c>
      <c r="H68" s="164"/>
      <c r="I68" s="164"/>
      <c r="J68" s="164"/>
      <c r="K68" s="164"/>
      <c r="L68" s="164"/>
    </row>
    <row r="69" spans="1:12" x14ac:dyDescent="0.25">
      <c r="A69" s="138" t="s">
        <v>103</v>
      </c>
      <c r="B69" s="164"/>
      <c r="C69" s="164"/>
      <c r="D69" s="164"/>
      <c r="E69" s="164"/>
      <c r="F69" s="164"/>
      <c r="G69" s="163" t="s">
        <v>84</v>
      </c>
      <c r="H69" s="164"/>
      <c r="I69" s="164"/>
      <c r="J69" s="164"/>
      <c r="K69" s="164"/>
      <c r="L69" s="164"/>
    </row>
    <row r="70" spans="1:12" x14ac:dyDescent="0.25">
      <c r="A70" s="140" t="s">
        <v>104</v>
      </c>
      <c r="B70" s="164"/>
      <c r="C70" s="164"/>
      <c r="D70" s="164"/>
      <c r="E70" s="164"/>
      <c r="F70" s="164"/>
      <c r="G70" s="163" t="s">
        <v>105</v>
      </c>
      <c r="H70" s="164"/>
      <c r="I70" s="164"/>
      <c r="J70" s="164"/>
      <c r="K70" s="164"/>
      <c r="L70" s="164"/>
    </row>
    <row r="71" spans="1:12" ht="31.5" x14ac:dyDescent="0.25">
      <c r="A71" s="142" t="s">
        <v>106</v>
      </c>
      <c r="B71" s="164"/>
      <c r="C71" s="164"/>
      <c r="D71" s="164"/>
      <c r="E71" s="164"/>
      <c r="F71" s="164"/>
      <c r="G71" s="163" t="s">
        <v>88</v>
      </c>
      <c r="H71" s="164"/>
      <c r="I71" s="164"/>
      <c r="J71" s="164"/>
      <c r="K71" s="164"/>
      <c r="L71" s="164"/>
    </row>
    <row r="72" spans="1:12" x14ac:dyDescent="0.25">
      <c r="A72" s="138"/>
      <c r="B72" s="164"/>
      <c r="C72" s="164"/>
      <c r="D72" s="164"/>
      <c r="E72" s="164"/>
      <c r="F72" s="164"/>
      <c r="G72" s="163" t="s">
        <v>86</v>
      </c>
      <c r="H72" s="164"/>
      <c r="I72" s="164"/>
      <c r="J72" s="164"/>
      <c r="K72" s="164"/>
      <c r="L72" s="164"/>
    </row>
    <row r="73" spans="1:12" x14ac:dyDescent="0.25">
      <c r="A73" s="140"/>
      <c r="B73" s="164"/>
      <c r="C73" s="164"/>
      <c r="D73" s="164"/>
      <c r="E73" s="164"/>
      <c r="F73" s="164"/>
      <c r="G73" s="113" t="s">
        <v>226</v>
      </c>
      <c r="H73" s="164"/>
      <c r="I73" s="164"/>
      <c r="J73" s="164"/>
      <c r="K73" s="164"/>
      <c r="L73" s="164"/>
    </row>
    <row r="74" spans="1:12" ht="31.5" x14ac:dyDescent="0.25">
      <c r="A74" s="140"/>
      <c r="B74" s="164"/>
      <c r="C74" s="164"/>
      <c r="D74" s="164"/>
      <c r="E74" s="164"/>
      <c r="F74" s="164"/>
      <c r="G74" s="113" t="s">
        <v>227</v>
      </c>
      <c r="H74" s="164"/>
      <c r="I74" s="164"/>
      <c r="J74" s="164"/>
      <c r="K74" s="164"/>
      <c r="L74" s="164"/>
    </row>
    <row r="75" spans="1:12" ht="31.5" x14ac:dyDescent="0.25">
      <c r="A75" s="136"/>
      <c r="B75" s="169"/>
      <c r="C75" s="169"/>
      <c r="D75" s="169"/>
      <c r="E75" s="169"/>
      <c r="F75" s="169"/>
      <c r="G75" s="117" t="s">
        <v>228</v>
      </c>
      <c r="H75" s="164"/>
      <c r="I75" s="164"/>
      <c r="J75" s="164"/>
      <c r="K75" s="164"/>
      <c r="L75" s="164"/>
    </row>
    <row r="76" spans="1:12" ht="31.5" x14ac:dyDescent="0.25">
      <c r="A76" s="142"/>
      <c r="B76" s="164"/>
      <c r="C76" s="164"/>
      <c r="D76" s="164"/>
      <c r="E76" s="164"/>
      <c r="F76" s="164"/>
      <c r="G76" s="113" t="s">
        <v>229</v>
      </c>
      <c r="H76" s="164"/>
      <c r="I76" s="164"/>
      <c r="J76" s="164"/>
      <c r="K76" s="164"/>
      <c r="L76" s="164"/>
    </row>
    <row r="77" spans="1:12" x14ac:dyDescent="0.25">
      <c r="A77" s="159"/>
      <c r="B77" s="164"/>
      <c r="C77" s="164"/>
      <c r="D77" s="164"/>
      <c r="E77" s="164"/>
      <c r="F77" s="164"/>
      <c r="G77" s="113" t="s">
        <v>221</v>
      </c>
      <c r="H77" s="164"/>
      <c r="I77" s="164"/>
      <c r="J77" s="164"/>
      <c r="K77" s="164"/>
      <c r="L77" s="164"/>
    </row>
    <row r="78" spans="1:12" ht="31.5" x14ac:dyDescent="0.25">
      <c r="A78" s="132" t="s">
        <v>186</v>
      </c>
      <c r="B78" s="158">
        <f>SUM(B68:B77)</f>
        <v>0</v>
      </c>
      <c r="C78" s="158">
        <f t="shared" ref="C78:E78" si="13">SUM(C68:C77)</f>
        <v>0</v>
      </c>
      <c r="D78" s="158">
        <f t="shared" si="13"/>
        <v>0</v>
      </c>
      <c r="E78" s="158">
        <f t="shared" si="13"/>
        <v>0</v>
      </c>
      <c r="F78" s="158">
        <f>SUM(F68:F77)</f>
        <v>0</v>
      </c>
      <c r="G78" s="157" t="s">
        <v>187</v>
      </c>
      <c r="H78" s="158">
        <f>SUM(H68:H77)</f>
        <v>0</v>
      </c>
      <c r="I78" s="158">
        <f t="shared" ref="I78:K78" si="14">SUM(I68:I77)</f>
        <v>0</v>
      </c>
      <c r="J78" s="158">
        <f t="shared" si="14"/>
        <v>0</v>
      </c>
      <c r="K78" s="158">
        <f t="shared" si="14"/>
        <v>0</v>
      </c>
      <c r="L78" s="158">
        <f>SUM(L68:L77)</f>
        <v>0</v>
      </c>
    </row>
    <row r="79" spans="1:12" x14ac:dyDescent="0.25">
      <c r="A79" s="134" t="s">
        <v>164</v>
      </c>
      <c r="B79" s="164"/>
      <c r="C79" s="164"/>
      <c r="D79" s="164"/>
      <c r="E79" s="164"/>
      <c r="F79" s="164"/>
      <c r="G79" s="165" t="s">
        <v>165</v>
      </c>
      <c r="H79" s="164"/>
      <c r="I79" s="164"/>
      <c r="J79" s="164"/>
      <c r="K79" s="164"/>
      <c r="L79" s="164"/>
    </row>
    <row r="80" spans="1:12" ht="47.25" x14ac:dyDescent="0.25">
      <c r="A80" s="132" t="s">
        <v>188</v>
      </c>
      <c r="B80" s="158">
        <f>B78+B79</f>
        <v>0</v>
      </c>
      <c r="C80" s="158">
        <f t="shared" ref="C80:E80" si="15">C78+C79</f>
        <v>0</v>
      </c>
      <c r="D80" s="158">
        <f t="shared" si="15"/>
        <v>0</v>
      </c>
      <c r="E80" s="158">
        <f t="shared" si="15"/>
        <v>0</v>
      </c>
      <c r="F80" s="158">
        <f>F78+F79</f>
        <v>0</v>
      </c>
      <c r="G80" s="157" t="s">
        <v>189</v>
      </c>
      <c r="H80" s="158">
        <f>H78+H79</f>
        <v>0</v>
      </c>
      <c r="I80" s="158">
        <f t="shared" ref="I80:K80" si="16">I78+I79</f>
        <v>0</v>
      </c>
      <c r="J80" s="158">
        <f t="shared" si="16"/>
        <v>0</v>
      </c>
      <c r="K80" s="158">
        <f t="shared" si="16"/>
        <v>0</v>
      </c>
      <c r="L80" s="158">
        <f>L78+L79</f>
        <v>0</v>
      </c>
    </row>
    <row r="81" spans="1:13" x14ac:dyDescent="0.25">
      <c r="A81" s="132" t="s">
        <v>168</v>
      </c>
      <c r="B81" s="147"/>
      <c r="C81" s="147"/>
      <c r="D81" s="147"/>
      <c r="E81" s="147"/>
      <c r="F81" s="147"/>
      <c r="G81" s="148" t="s">
        <v>16</v>
      </c>
      <c r="H81" s="149"/>
      <c r="I81" s="149"/>
      <c r="J81" s="149"/>
      <c r="K81" s="149"/>
      <c r="L81" s="149"/>
    </row>
    <row r="82" spans="1:13" ht="31.5" x14ac:dyDescent="0.25">
      <c r="A82" s="142" t="s">
        <v>121</v>
      </c>
      <c r="B82" s="158"/>
      <c r="C82" s="158"/>
      <c r="D82" s="158"/>
      <c r="E82" s="158"/>
      <c r="F82" s="158"/>
      <c r="G82" s="137" t="s">
        <v>122</v>
      </c>
      <c r="H82" s="141"/>
      <c r="I82" s="141"/>
      <c r="J82" s="164"/>
      <c r="K82" s="164"/>
      <c r="L82" s="164"/>
    </row>
    <row r="83" spans="1:13" x14ac:dyDescent="0.25">
      <c r="A83" s="175" t="s">
        <v>169</v>
      </c>
      <c r="B83" s="164"/>
      <c r="C83" s="164"/>
      <c r="D83" s="164"/>
      <c r="E83" s="164"/>
      <c r="F83" s="164"/>
      <c r="G83" s="139" t="s">
        <v>124</v>
      </c>
      <c r="H83" s="141"/>
      <c r="I83" s="141"/>
      <c r="J83" s="164"/>
      <c r="K83" s="164"/>
      <c r="L83" s="164"/>
    </row>
    <row r="84" spans="1:13" ht="31.5" x14ac:dyDescent="0.25">
      <c r="A84" s="175" t="s">
        <v>170</v>
      </c>
      <c r="B84" s="177"/>
      <c r="C84" s="177"/>
      <c r="D84" s="177"/>
      <c r="E84" s="177"/>
      <c r="F84" s="177"/>
      <c r="G84" s="139" t="s">
        <v>126</v>
      </c>
      <c r="H84" s="141"/>
      <c r="I84" s="141"/>
      <c r="J84" s="164"/>
      <c r="K84" s="164"/>
      <c r="L84" s="164"/>
    </row>
    <row r="85" spans="1:13" x14ac:dyDescent="0.25">
      <c r="A85" s="159"/>
      <c r="B85" s="176"/>
      <c r="C85" s="150"/>
      <c r="D85" s="150"/>
      <c r="E85" s="150"/>
      <c r="F85" s="150"/>
      <c r="G85" s="161" t="s">
        <v>171</v>
      </c>
      <c r="H85" s="160"/>
      <c r="I85" s="160"/>
      <c r="J85" s="164"/>
      <c r="K85" s="164"/>
      <c r="L85" s="164"/>
    </row>
    <row r="86" spans="1:13" ht="31.5" x14ac:dyDescent="0.25">
      <c r="A86" s="157" t="s">
        <v>182</v>
      </c>
      <c r="B86" s="158">
        <f>SUM(B82:B84)</f>
        <v>0</v>
      </c>
      <c r="C86" s="158">
        <f t="shared" ref="C86:E86" si="17">SUM(C82:C84)</f>
        <v>0</v>
      </c>
      <c r="D86" s="158">
        <f t="shared" si="17"/>
        <v>0</v>
      </c>
      <c r="E86" s="158">
        <f t="shared" si="17"/>
        <v>0</v>
      </c>
      <c r="F86" s="158">
        <f>SUM(F82:F84)</f>
        <v>0</v>
      </c>
      <c r="G86" s="163" t="s">
        <v>172</v>
      </c>
      <c r="H86" s="164"/>
      <c r="I86" s="164"/>
      <c r="J86" s="164"/>
      <c r="K86" s="164"/>
      <c r="L86" s="164"/>
    </row>
    <row r="87" spans="1:13" ht="31.5" x14ac:dyDescent="0.25">
      <c r="A87" s="165" t="s">
        <v>164</v>
      </c>
      <c r="B87" s="164"/>
      <c r="C87" s="164"/>
      <c r="D87" s="164"/>
      <c r="E87" s="164"/>
      <c r="F87" s="164"/>
      <c r="G87" s="166" t="s">
        <v>173</v>
      </c>
      <c r="H87" s="164"/>
      <c r="I87" s="164"/>
      <c r="J87" s="164"/>
      <c r="K87" s="164"/>
      <c r="L87" s="164"/>
    </row>
    <row r="88" spans="1:13" ht="31.5" x14ac:dyDescent="0.25">
      <c r="A88" s="151"/>
      <c r="B88" s="162"/>
      <c r="C88" s="143"/>
      <c r="D88" s="143"/>
      <c r="E88" s="143"/>
      <c r="F88" s="143"/>
      <c r="G88" s="128" t="s">
        <v>130</v>
      </c>
      <c r="H88" s="162"/>
      <c r="I88" s="162"/>
      <c r="J88" s="164"/>
      <c r="K88" s="164"/>
      <c r="L88" s="164"/>
    </row>
    <row r="89" spans="1:13" ht="47.25" x14ac:dyDescent="0.25">
      <c r="A89" s="146" t="s">
        <v>190</v>
      </c>
      <c r="B89" s="144">
        <f>SUM(B82:B88)</f>
        <v>0</v>
      </c>
      <c r="C89" s="144">
        <f t="shared" ref="C89:E89" si="18">SUM(C82:C88)</f>
        <v>0</v>
      </c>
      <c r="D89" s="144">
        <f t="shared" si="18"/>
        <v>0</v>
      </c>
      <c r="E89" s="144">
        <f t="shared" si="18"/>
        <v>0</v>
      </c>
      <c r="F89" s="144">
        <f>SUM(F82:F88)</f>
        <v>0</v>
      </c>
      <c r="G89" s="152" t="s">
        <v>191</v>
      </c>
      <c r="H89" s="144">
        <f>SUM(H82:H88)</f>
        <v>0</v>
      </c>
      <c r="I89" s="144">
        <f t="shared" ref="I89:K89" si="19">SUM(I82:I88)</f>
        <v>0</v>
      </c>
      <c r="J89" s="144">
        <f t="shared" si="19"/>
        <v>0</v>
      </c>
      <c r="K89" s="144">
        <f t="shared" si="19"/>
        <v>0</v>
      </c>
      <c r="L89" s="158">
        <f>SUM(L82:L88)</f>
        <v>0</v>
      </c>
    </row>
    <row r="90" spans="1:13" x14ac:dyDescent="0.25">
      <c r="B90" s="153">
        <f>B89+B80+B62+B49+B31+B20</f>
        <v>100091327</v>
      </c>
      <c r="C90" s="153">
        <f t="shared" ref="C90" si="20">C89+C80+C62+C49+C31+C20</f>
        <v>106452770</v>
      </c>
      <c r="D90" s="153">
        <f>D89+D80+D62+D31+D20</f>
        <v>113676010</v>
      </c>
      <c r="E90" s="153">
        <f>E89+E80+E62+E31+E20</f>
        <v>114475650</v>
      </c>
      <c r="F90" s="153">
        <f>F89+F80+F62+F49+F31+F20</f>
        <v>799640</v>
      </c>
      <c r="H90" s="153">
        <f>H89+H80+H62+H49+H31+H20</f>
        <v>100316327</v>
      </c>
      <c r="I90" s="153">
        <f t="shared" ref="I90" si="21">I89+I80+I62+I49+I31+I20</f>
        <v>105957770</v>
      </c>
      <c r="J90" s="153">
        <f>J89+J80+J62+J49+J31+J20-J63</f>
        <v>113676010</v>
      </c>
      <c r="K90" s="153">
        <f>K89+K80+K62+K49+K31+K20-K63</f>
        <v>114475650</v>
      </c>
      <c r="L90" s="153">
        <f>L89+L80+L62+L49+L31+L20</f>
        <v>799640</v>
      </c>
      <c r="M90" s="153">
        <f>F90-L90</f>
        <v>0</v>
      </c>
    </row>
    <row r="91" spans="1:13" x14ac:dyDescent="0.25">
      <c r="A91" s="129" t="s">
        <v>235</v>
      </c>
      <c r="B91" s="153">
        <f>H90-B90</f>
        <v>225000</v>
      </c>
      <c r="C91" s="153"/>
      <c r="D91" s="153"/>
      <c r="E91" s="153"/>
      <c r="F91" s="153"/>
    </row>
  </sheetData>
  <sheetProtection selectLockedCells="1" selectUnlockedCells="1"/>
  <mergeCells count="3">
    <mergeCell ref="A33:G33"/>
    <mergeCell ref="A64:G64"/>
    <mergeCell ref="A4:L4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57" firstPageNumber="0" orientation="landscape" r:id="rId1"/>
  <headerFooter alignWithMargins="0">
    <oddHeader>&amp;L&amp;"Times New Roman,Normál"&amp;12Pécsely Község Önkormányzata&amp;C&amp;"Times New Roman,Normál"&amp;12 7. melléklet
Az önkormányzat 2018. évi költségvetéséről szóló .../2018. (.....) önkormányzati rendelet tervezethez</oddHeader>
  </headerFooter>
  <rowBreaks count="2" manualBreakCount="2">
    <brk id="32" max="9" man="1"/>
    <brk id="6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O39"/>
  <sheetViews>
    <sheetView view="pageLayout" zoomScaleSheetLayoutView="89" workbookViewId="0">
      <selection activeCell="A3" sqref="A3:N3"/>
    </sheetView>
  </sheetViews>
  <sheetFormatPr defaultColWidth="9.140625" defaultRowHeight="12.75" x14ac:dyDescent="0.2"/>
  <cols>
    <col min="1" max="1" width="51" style="207" customWidth="1"/>
    <col min="2" max="2" width="13.5703125" style="179" bestFit="1" customWidth="1"/>
    <col min="3" max="3" width="12.7109375" style="179" bestFit="1" customWidth="1"/>
    <col min="4" max="5" width="13.28515625" style="179" bestFit="1" customWidth="1"/>
    <col min="6" max="6" width="15.5703125" style="179" bestFit="1" customWidth="1"/>
    <col min="7" max="7" width="17.28515625" style="179" customWidth="1"/>
    <col min="8" max="9" width="13.28515625" style="179" bestFit="1" customWidth="1"/>
    <col min="10" max="10" width="16.140625" style="179" bestFit="1" customWidth="1"/>
    <col min="11" max="13" width="13.28515625" style="179" bestFit="1" customWidth="1"/>
    <col min="14" max="14" width="14.140625" style="179" bestFit="1" customWidth="1"/>
    <col min="15" max="15" width="12.7109375" style="179" bestFit="1" customWidth="1"/>
    <col min="16" max="16384" width="9.140625" style="179"/>
  </cols>
  <sheetData>
    <row r="1" spans="1:15" ht="15.75" x14ac:dyDescent="0.25">
      <c r="A1" s="178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15.75" x14ac:dyDescent="0.25">
      <c r="A2" s="18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19"/>
      <c r="N2" s="319"/>
    </row>
    <row r="3" spans="1:15" ht="15.75" x14ac:dyDescent="0.25">
      <c r="A3" s="320" t="s">
        <v>370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5" ht="16.5" thickBot="1" x14ac:dyDescent="0.3">
      <c r="A4" s="17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81"/>
    </row>
    <row r="5" spans="1:15" ht="16.5" thickBot="1" x14ac:dyDescent="0.3">
      <c r="A5" s="182" t="s">
        <v>82</v>
      </c>
      <c r="B5" s="183" t="s">
        <v>192</v>
      </c>
      <c r="C5" s="183" t="s">
        <v>193</v>
      </c>
      <c r="D5" s="183" t="s">
        <v>194</v>
      </c>
      <c r="E5" s="183" t="s">
        <v>195</v>
      </c>
      <c r="F5" s="183" t="s">
        <v>196</v>
      </c>
      <c r="G5" s="183" t="s">
        <v>197</v>
      </c>
      <c r="H5" s="183" t="s">
        <v>198</v>
      </c>
      <c r="I5" s="183" t="s">
        <v>199</v>
      </c>
      <c r="J5" s="183" t="s">
        <v>400</v>
      </c>
      <c r="K5" s="183" t="s">
        <v>200</v>
      </c>
      <c r="L5" s="183" t="s">
        <v>201</v>
      </c>
      <c r="M5" s="183" t="s">
        <v>202</v>
      </c>
      <c r="N5" s="184" t="s">
        <v>81</v>
      </c>
    </row>
    <row r="6" spans="1:15" ht="32.25" thickBot="1" x14ac:dyDescent="0.3">
      <c r="A6" s="185" t="s">
        <v>203</v>
      </c>
      <c r="B6" s="186">
        <f>44133173+24510</f>
        <v>44157683</v>
      </c>
      <c r="C6" s="186">
        <f t="shared" ref="C6:M6" si="0">SUM(B37)</f>
        <v>40924579</v>
      </c>
      <c r="D6" s="186">
        <f t="shared" si="0"/>
        <v>41967375</v>
      </c>
      <c r="E6" s="186">
        <f t="shared" si="0"/>
        <v>50822651</v>
      </c>
      <c r="F6" s="186">
        <f t="shared" si="0"/>
        <v>47871696</v>
      </c>
      <c r="G6" s="186">
        <f t="shared" si="0"/>
        <v>45817881</v>
      </c>
      <c r="H6" s="186">
        <f t="shared" si="0"/>
        <v>48404705</v>
      </c>
      <c r="I6" s="186">
        <f t="shared" si="0"/>
        <v>44980684</v>
      </c>
      <c r="J6" s="186">
        <f t="shared" si="0"/>
        <v>47696148</v>
      </c>
      <c r="K6" s="186">
        <f t="shared" si="0"/>
        <v>58086685</v>
      </c>
      <c r="L6" s="186">
        <f t="shared" si="0"/>
        <v>57115785</v>
      </c>
      <c r="M6" s="186">
        <f t="shared" si="0"/>
        <v>37584066</v>
      </c>
      <c r="N6" s="186">
        <v>44133173</v>
      </c>
      <c r="O6" s="187"/>
    </row>
    <row r="7" spans="1:15" ht="30" customHeight="1" x14ac:dyDescent="0.25">
      <c r="A7" s="188" t="s">
        <v>274</v>
      </c>
      <c r="B7" s="189">
        <f>2270722+426721</f>
        <v>2697443</v>
      </c>
      <c r="C7" s="189">
        <f>2270722+522658</f>
        <v>2793380</v>
      </c>
      <c r="D7" s="189">
        <f>2270722+503892</f>
        <v>2774614</v>
      </c>
      <c r="E7" s="189">
        <f>2270722+428912</f>
        <v>2699634</v>
      </c>
      <c r="F7" s="189">
        <f>2270722+433179</f>
        <v>2703901</v>
      </c>
      <c r="G7" s="189">
        <f>2270722+8188271</f>
        <v>10458993</v>
      </c>
      <c r="H7" s="189">
        <f>2270722+621727</f>
        <v>2892449</v>
      </c>
      <c r="I7" s="189">
        <f>2270722+463279</f>
        <v>2734001</v>
      </c>
      <c r="J7" s="189">
        <f>2270722+717074</f>
        <v>2987796</v>
      </c>
      <c r="K7" s="189">
        <f>2270722+765991</f>
        <v>3036713</v>
      </c>
      <c r="L7" s="189">
        <f>2270722+450000</f>
        <v>2720722</v>
      </c>
      <c r="M7" s="189">
        <f>2270722+1176787</f>
        <v>3447509</v>
      </c>
      <c r="N7" s="190">
        <f>SUM(B7:M7)</f>
        <v>41947155</v>
      </c>
      <c r="O7" s="187">
        <f>'2.sz.tábla'!D5</f>
        <v>41947155</v>
      </c>
    </row>
    <row r="8" spans="1:15" ht="15.75" x14ac:dyDescent="0.25">
      <c r="A8" s="191" t="s">
        <v>160</v>
      </c>
      <c r="B8" s="192">
        <v>435592</v>
      </c>
      <c r="C8" s="192">
        <v>536797</v>
      </c>
      <c r="D8" s="192">
        <v>279162</v>
      </c>
      <c r="E8" s="192">
        <v>278514</v>
      </c>
      <c r="F8" s="192">
        <v>2662835</v>
      </c>
      <c r="G8" s="192">
        <v>829149</v>
      </c>
      <c r="H8" s="192">
        <v>58593</v>
      </c>
      <c r="I8" s="192">
        <v>1005314</v>
      </c>
      <c r="J8" s="192">
        <v>304880</v>
      </c>
      <c r="K8" s="192">
        <v>945417</v>
      </c>
      <c r="L8" s="192">
        <v>50000</v>
      </c>
      <c r="M8" s="192">
        <v>476267</v>
      </c>
      <c r="N8" s="193">
        <f t="shared" ref="N8:N18" si="1">SUM(B8:M8)</f>
        <v>7862520</v>
      </c>
      <c r="O8" s="187">
        <f>'2.sz.tábla'!D47</f>
        <v>7862520</v>
      </c>
    </row>
    <row r="9" spans="1:15" ht="15.75" x14ac:dyDescent="0.25">
      <c r="A9" s="32" t="s">
        <v>204</v>
      </c>
      <c r="B9" s="31">
        <v>130102</v>
      </c>
      <c r="C9" s="31">
        <v>588573</v>
      </c>
      <c r="D9" s="31">
        <v>7860558</v>
      </c>
      <c r="E9" s="31">
        <v>655653</v>
      </c>
      <c r="F9" s="31">
        <v>976008</v>
      </c>
      <c r="G9" s="31">
        <v>1396624</v>
      </c>
      <c r="H9" s="31">
        <v>251242</v>
      </c>
      <c r="I9" s="31">
        <v>1164936</v>
      </c>
      <c r="J9" s="31">
        <f>9921010+2000000-511146</f>
        <v>11409864</v>
      </c>
      <c r="K9" s="31">
        <f>1191783+511146</f>
        <v>1702929</v>
      </c>
      <c r="L9" s="31">
        <v>50000</v>
      </c>
      <c r="M9" s="31">
        <v>100000</v>
      </c>
      <c r="N9" s="193">
        <f>SUM(B9:M9)</f>
        <v>26286489</v>
      </c>
      <c r="O9" s="194">
        <f>'2.sz.tábla'!D33</f>
        <v>20250000</v>
      </c>
    </row>
    <row r="10" spans="1:15" ht="15.75" x14ac:dyDescent="0.25">
      <c r="A10" s="32" t="s">
        <v>275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93">
        <f t="shared" si="1"/>
        <v>0</v>
      </c>
    </row>
    <row r="11" spans="1:15" ht="15.75" x14ac:dyDescent="0.25">
      <c r="A11" s="195" t="s">
        <v>205</v>
      </c>
      <c r="B11" s="196">
        <f>SUM(B7:B10)</f>
        <v>3263137</v>
      </c>
      <c r="C11" s="196">
        <f t="shared" ref="C11:M11" si="2">SUM(C7:C10)</f>
        <v>3918750</v>
      </c>
      <c r="D11" s="196">
        <f t="shared" si="2"/>
        <v>10914334</v>
      </c>
      <c r="E11" s="196">
        <f t="shared" si="2"/>
        <v>3633801</v>
      </c>
      <c r="F11" s="196">
        <f t="shared" si="2"/>
        <v>6342744</v>
      </c>
      <c r="G11" s="196">
        <f t="shared" si="2"/>
        <v>12684766</v>
      </c>
      <c r="H11" s="196">
        <f t="shared" si="2"/>
        <v>3202284</v>
      </c>
      <c r="I11" s="196">
        <f t="shared" si="2"/>
        <v>4904251</v>
      </c>
      <c r="J11" s="196">
        <f t="shared" si="2"/>
        <v>14702540</v>
      </c>
      <c r="K11" s="196">
        <f t="shared" si="2"/>
        <v>5685059</v>
      </c>
      <c r="L11" s="196">
        <f t="shared" si="2"/>
        <v>2820722</v>
      </c>
      <c r="M11" s="196">
        <f t="shared" si="2"/>
        <v>4023776</v>
      </c>
      <c r="N11" s="193">
        <f t="shared" si="1"/>
        <v>76096164</v>
      </c>
      <c r="O11" s="187">
        <f>SUM(B11:M11)</f>
        <v>76096164</v>
      </c>
    </row>
    <row r="12" spans="1:15" ht="30.75" customHeight="1" x14ac:dyDescent="0.25">
      <c r="A12" s="32" t="s">
        <v>276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93">
        <f t="shared" si="1"/>
        <v>0</v>
      </c>
      <c r="O12" s="187">
        <f>'2.sz.tábla'!B21</f>
        <v>0</v>
      </c>
    </row>
    <row r="13" spans="1:15" ht="15.75" x14ac:dyDescent="0.25">
      <c r="A13" s="32" t="s">
        <v>277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93">
        <f t="shared" si="1"/>
        <v>0</v>
      </c>
      <c r="O13" s="187">
        <f>'2.sz.tábla'!B60</f>
        <v>0</v>
      </c>
    </row>
    <row r="14" spans="1:15" ht="15.75" x14ac:dyDescent="0.25">
      <c r="A14" s="32" t="s">
        <v>278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93">
        <f t="shared" si="1"/>
        <v>0</v>
      </c>
      <c r="O14" s="187">
        <f>'2.sz.tábla'!F66</f>
        <v>0</v>
      </c>
    </row>
    <row r="15" spans="1:15" ht="15.75" x14ac:dyDescent="0.25">
      <c r="A15" s="195" t="s">
        <v>206</v>
      </c>
      <c r="B15" s="196">
        <f t="shared" ref="B15:M15" si="3">SUM(B12:B14)</f>
        <v>0</v>
      </c>
      <c r="C15" s="196">
        <f t="shared" si="3"/>
        <v>0</v>
      </c>
      <c r="D15" s="196">
        <f t="shared" si="3"/>
        <v>0</v>
      </c>
      <c r="E15" s="196">
        <f t="shared" si="3"/>
        <v>0</v>
      </c>
      <c r="F15" s="196">
        <f t="shared" si="3"/>
        <v>0</v>
      </c>
      <c r="G15" s="196">
        <f t="shared" si="3"/>
        <v>0</v>
      </c>
      <c r="H15" s="196">
        <f t="shared" si="3"/>
        <v>0</v>
      </c>
      <c r="I15" s="196">
        <f t="shared" si="3"/>
        <v>0</v>
      </c>
      <c r="J15" s="196">
        <f t="shared" si="3"/>
        <v>0</v>
      </c>
      <c r="K15" s="196">
        <f t="shared" si="3"/>
        <v>0</v>
      </c>
      <c r="L15" s="196">
        <f t="shared" si="3"/>
        <v>0</v>
      </c>
      <c r="M15" s="196">
        <f t="shared" si="3"/>
        <v>0</v>
      </c>
      <c r="N15" s="193">
        <f t="shared" si="1"/>
        <v>0</v>
      </c>
      <c r="O15" s="187">
        <f>'2.sz.tábla'!F60+'2.sz.tábla'!F21</f>
        <v>0</v>
      </c>
    </row>
    <row r="16" spans="1:15" ht="15.75" x14ac:dyDescent="0.25">
      <c r="A16" s="67" t="s">
        <v>9</v>
      </c>
      <c r="B16" s="31">
        <f>SUM(B11,B15)</f>
        <v>3263137</v>
      </c>
      <c r="C16" s="31">
        <f t="shared" ref="C16:M16" si="4">SUM(C11,C15)</f>
        <v>3918750</v>
      </c>
      <c r="D16" s="31">
        <f>SUM(D11,D15)</f>
        <v>10914334</v>
      </c>
      <c r="E16" s="31">
        <f t="shared" si="4"/>
        <v>3633801</v>
      </c>
      <c r="F16" s="31">
        <f t="shared" si="4"/>
        <v>6342744</v>
      </c>
      <c r="G16" s="31">
        <f t="shared" si="4"/>
        <v>12684766</v>
      </c>
      <c r="H16" s="31">
        <f t="shared" si="4"/>
        <v>3202284</v>
      </c>
      <c r="I16" s="31">
        <f t="shared" si="4"/>
        <v>4904251</v>
      </c>
      <c r="J16" s="31">
        <f t="shared" si="4"/>
        <v>14702540</v>
      </c>
      <c r="K16" s="31">
        <f t="shared" si="4"/>
        <v>5685059</v>
      </c>
      <c r="L16" s="31">
        <f t="shared" si="4"/>
        <v>2820722</v>
      </c>
      <c r="M16" s="31">
        <f t="shared" si="4"/>
        <v>4023776</v>
      </c>
      <c r="N16" s="193">
        <f t="shared" si="1"/>
        <v>76096164</v>
      </c>
      <c r="O16" s="187">
        <f>'1.sz.tábla'!E14</f>
        <v>71000795</v>
      </c>
    </row>
    <row r="17" spans="1:15" ht="31.5" x14ac:dyDescent="0.25">
      <c r="A17" s="32" t="s">
        <v>279</v>
      </c>
      <c r="B17" s="192"/>
      <c r="C17" s="192"/>
      <c r="D17" s="192">
        <v>199402</v>
      </c>
      <c r="E17" s="192">
        <v>33659</v>
      </c>
      <c r="F17" s="192">
        <v>35262</v>
      </c>
      <c r="G17" s="192">
        <v>35262</v>
      </c>
      <c r="H17" s="192">
        <v>35262</v>
      </c>
      <c r="I17" s="192">
        <v>35262</v>
      </c>
      <c r="J17" s="192">
        <v>35262</v>
      </c>
      <c r="K17" s="192">
        <v>35262</v>
      </c>
      <c r="L17" s="192">
        <v>35262</v>
      </c>
      <c r="M17" s="192">
        <v>100335</v>
      </c>
      <c r="N17" s="193">
        <f>SUM(B17:M17)</f>
        <v>580230</v>
      </c>
      <c r="O17" s="198">
        <f>'2.sz.tábla'!E82</f>
        <v>580230</v>
      </c>
    </row>
    <row r="18" spans="1:15" ht="15.75" x14ac:dyDescent="0.25">
      <c r="A18" s="32" t="s">
        <v>280</v>
      </c>
      <c r="B18" s="31">
        <v>38541663</v>
      </c>
      <c r="C18" s="31"/>
      <c r="D18" s="31"/>
      <c r="E18" s="31"/>
      <c r="F18" s="31"/>
      <c r="G18" s="31">
        <v>4352962</v>
      </c>
      <c r="H18" s="31"/>
      <c r="I18" s="31"/>
      <c r="J18" s="31"/>
      <c r="K18" s="31"/>
      <c r="L18" s="31"/>
      <c r="M18" s="31"/>
      <c r="N18" s="199">
        <f t="shared" si="1"/>
        <v>42894625</v>
      </c>
      <c r="O18" s="187">
        <f>'2.sz.tábla'!F79</f>
        <v>0</v>
      </c>
    </row>
    <row r="19" spans="1:15" ht="15.75" x14ac:dyDescent="0.25">
      <c r="A19" s="67" t="s">
        <v>13</v>
      </c>
      <c r="B19" s="59">
        <f>SUM(B16:B18)</f>
        <v>41804800</v>
      </c>
      <c r="C19" s="59">
        <f>SUM(C16:C18)</f>
        <v>3918750</v>
      </c>
      <c r="D19" s="59">
        <f>SUM(D16:D18)</f>
        <v>11113736</v>
      </c>
      <c r="E19" s="59">
        <f t="shared" ref="E19:N19" si="5">SUM(E16:E18)</f>
        <v>3667460</v>
      </c>
      <c r="F19" s="59">
        <f t="shared" si="5"/>
        <v>6378006</v>
      </c>
      <c r="G19" s="59">
        <f t="shared" si="5"/>
        <v>17072990</v>
      </c>
      <c r="H19" s="59">
        <f t="shared" si="5"/>
        <v>3237546</v>
      </c>
      <c r="I19" s="59">
        <f t="shared" si="5"/>
        <v>4939513</v>
      </c>
      <c r="J19" s="59">
        <f>SUM(J16:J18)</f>
        <v>14737802</v>
      </c>
      <c r="K19" s="59">
        <f t="shared" si="5"/>
        <v>5720321</v>
      </c>
      <c r="L19" s="59">
        <f t="shared" si="5"/>
        <v>2855984</v>
      </c>
      <c r="M19" s="59">
        <f t="shared" si="5"/>
        <v>4124111</v>
      </c>
      <c r="N19" s="200">
        <f t="shared" si="5"/>
        <v>119571019</v>
      </c>
      <c r="O19" s="187">
        <f>'1.sz.tábla'!F19</f>
        <v>799640</v>
      </c>
    </row>
    <row r="20" spans="1:15" ht="15.75" x14ac:dyDescent="0.25">
      <c r="A20" s="32" t="s">
        <v>281</v>
      </c>
      <c r="B20" s="31">
        <v>1394112</v>
      </c>
      <c r="C20" s="31">
        <v>1378616</v>
      </c>
      <c r="D20" s="31">
        <v>1356216</v>
      </c>
      <c r="E20" s="31">
        <v>1494465</v>
      </c>
      <c r="F20" s="31">
        <v>1417669</v>
      </c>
      <c r="G20" s="31">
        <v>1351689</v>
      </c>
      <c r="H20" s="31">
        <v>1397643</v>
      </c>
      <c r="I20" s="31">
        <v>1347232</v>
      </c>
      <c r="J20" s="31">
        <v>1497571</v>
      </c>
      <c r="K20" s="31">
        <v>1497571</v>
      </c>
      <c r="L20" s="31">
        <v>1497571</v>
      </c>
      <c r="M20" s="31">
        <v>3787734</v>
      </c>
      <c r="N20" s="100">
        <f t="shared" ref="N20:N36" si="6">SUM(B20:M20)</f>
        <v>19418089</v>
      </c>
      <c r="O20" s="187">
        <f>'3.tábla'!E7</f>
        <v>19498089</v>
      </c>
    </row>
    <row r="21" spans="1:15" ht="15.75" x14ac:dyDescent="0.25">
      <c r="A21" s="32" t="s">
        <v>282</v>
      </c>
      <c r="B21" s="31">
        <v>285000</v>
      </c>
      <c r="C21" s="31">
        <v>243000</v>
      </c>
      <c r="D21" s="31">
        <v>245000</v>
      </c>
      <c r="E21" s="31">
        <v>247000</v>
      </c>
      <c r="F21" s="31">
        <v>321000</v>
      </c>
      <c r="G21" s="31">
        <v>243000</v>
      </c>
      <c r="H21" s="31">
        <v>280000</v>
      </c>
      <c r="I21" s="31">
        <v>249000</v>
      </c>
      <c r="J21" s="31">
        <v>249000</v>
      </c>
      <c r="K21" s="31">
        <v>260000</v>
      </c>
      <c r="L21" s="31">
        <v>250000</v>
      </c>
      <c r="M21" s="31">
        <v>908052</v>
      </c>
      <c r="N21" s="100">
        <f t="shared" si="6"/>
        <v>3780052</v>
      </c>
      <c r="O21" s="187">
        <f>'3.tábla'!E8</f>
        <v>3780052</v>
      </c>
    </row>
    <row r="22" spans="1:15" ht="15" customHeight="1" x14ac:dyDescent="0.25">
      <c r="A22" s="32" t="s">
        <v>283</v>
      </c>
      <c r="B22" s="31">
        <f>2246949-57551</f>
        <v>2189398</v>
      </c>
      <c r="C22" s="31">
        <v>951356</v>
      </c>
      <c r="D22" s="31">
        <v>719962</v>
      </c>
      <c r="E22" s="31">
        <v>158406</v>
      </c>
      <c r="F22" s="31">
        <v>5180588</v>
      </c>
      <c r="G22" s="31">
        <v>3267106</v>
      </c>
      <c r="H22" s="31">
        <v>2717515</v>
      </c>
      <c r="I22" s="31">
        <v>128450</v>
      </c>
      <c r="J22" s="31">
        <v>244427</v>
      </c>
      <c r="K22" s="31">
        <v>915042</v>
      </c>
      <c r="L22" s="31">
        <v>4685707</v>
      </c>
      <c r="M22" s="31">
        <v>4685707</v>
      </c>
      <c r="N22" s="100">
        <f t="shared" si="6"/>
        <v>25843664</v>
      </c>
      <c r="O22" s="187">
        <f>'3.tábla'!D9</f>
        <v>34333000</v>
      </c>
    </row>
    <row r="23" spans="1:15" ht="15.75" x14ac:dyDescent="0.25">
      <c r="A23" s="32" t="s">
        <v>207</v>
      </c>
      <c r="B23" s="31">
        <v>78500</v>
      </c>
      <c r="C23" s="31">
        <v>100000</v>
      </c>
      <c r="D23" s="31">
        <v>140245</v>
      </c>
      <c r="E23" s="31">
        <v>48500</v>
      </c>
      <c r="F23" s="31">
        <v>48500</v>
      </c>
      <c r="G23" s="31">
        <v>68500</v>
      </c>
      <c r="H23" s="31">
        <v>114500</v>
      </c>
      <c r="I23" s="31">
        <v>28500</v>
      </c>
      <c r="J23" s="31">
        <v>98500</v>
      </c>
      <c r="K23" s="31">
        <v>54150</v>
      </c>
      <c r="L23" s="31">
        <v>100000</v>
      </c>
      <c r="M23" s="31">
        <v>2824105</v>
      </c>
      <c r="N23" s="100">
        <f t="shared" si="6"/>
        <v>3704000</v>
      </c>
      <c r="O23" s="187">
        <f>'3.tábla'!D48</f>
        <v>3704000</v>
      </c>
    </row>
    <row r="24" spans="1:15" ht="29.25" customHeight="1" x14ac:dyDescent="0.25">
      <c r="A24" s="32" t="s">
        <v>284</v>
      </c>
      <c r="B24" s="31"/>
      <c r="C24" s="31"/>
      <c r="D24" s="31"/>
      <c r="E24" s="31"/>
      <c r="F24" s="31"/>
      <c r="G24" s="31">
        <v>30000</v>
      </c>
      <c r="H24" s="31">
        <v>50000</v>
      </c>
      <c r="I24" s="31"/>
      <c r="J24" s="31"/>
      <c r="K24" s="31"/>
      <c r="L24" s="31">
        <v>70000</v>
      </c>
      <c r="M24" s="31"/>
      <c r="N24" s="100">
        <f t="shared" si="6"/>
        <v>150000</v>
      </c>
      <c r="O24" s="187">
        <f>'4. sz. tábla'!F14</f>
        <v>0</v>
      </c>
    </row>
    <row r="25" spans="1:15" ht="34.5" customHeight="1" x14ac:dyDescent="0.25">
      <c r="A25" s="32" t="s">
        <v>285</v>
      </c>
      <c r="B25" s="31">
        <v>150000</v>
      </c>
      <c r="C25" s="31">
        <v>0</v>
      </c>
      <c r="D25" s="31">
        <v>0</v>
      </c>
      <c r="E25" s="31">
        <f>2053925+2486668</f>
        <v>4540593</v>
      </c>
      <c r="F25" s="31">
        <f>513480+621667</f>
        <v>1135147</v>
      </c>
      <c r="G25" s="31">
        <f>513480+621667</f>
        <v>1135147</v>
      </c>
      <c r="H25" s="31">
        <f>513480+621667+871510</f>
        <v>2006657</v>
      </c>
      <c r="I25" s="31">
        <f>513480+149025</f>
        <v>662505</v>
      </c>
      <c r="J25" s="31">
        <f>513480+149025</f>
        <v>662505</v>
      </c>
      <c r="K25" s="31">
        <f>513480+149025+90000</f>
        <v>752505</v>
      </c>
      <c r="L25" s="31">
        <f>513480+149025</f>
        <v>662505</v>
      </c>
      <c r="M25" s="31">
        <f>513480+149027</f>
        <v>662507</v>
      </c>
      <c r="N25" s="100">
        <f t="shared" si="6"/>
        <v>12370071</v>
      </c>
      <c r="O25" s="201">
        <f>'4. sz. tábla'!D5</f>
        <v>12370071</v>
      </c>
    </row>
    <row r="26" spans="1:15" ht="34.5" customHeight="1" x14ac:dyDescent="0.25">
      <c r="A26" s="32" t="s">
        <v>286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00">
        <f t="shared" si="6"/>
        <v>0</v>
      </c>
      <c r="O26" s="187">
        <f>'3.tábla'!F34</f>
        <v>0</v>
      </c>
    </row>
    <row r="27" spans="1:15" ht="15.75" x14ac:dyDescent="0.25">
      <c r="A27" s="32" t="s">
        <v>19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>
        <v>6499044</v>
      </c>
      <c r="N27" s="100">
        <f t="shared" si="6"/>
        <v>6499044</v>
      </c>
      <c r="O27" s="187">
        <f>'1.sz.tábla'!E31</f>
        <v>6499044</v>
      </c>
    </row>
    <row r="28" spans="1:15" ht="15.75" x14ac:dyDescent="0.25">
      <c r="A28" s="195" t="s">
        <v>208</v>
      </c>
      <c r="B28" s="196">
        <f>SUM(B20:B27)</f>
        <v>4097010</v>
      </c>
      <c r="C28" s="196">
        <f>SUM(C20:C27)</f>
        <v>2672972</v>
      </c>
      <c r="D28" s="196">
        <f>SUM(D20:D27)</f>
        <v>2461423</v>
      </c>
      <c r="E28" s="196">
        <f>SUM(E20:E27)</f>
        <v>6488964</v>
      </c>
      <c r="F28" s="196">
        <f t="shared" ref="F28:M28" si="7">SUM(F20:F27)</f>
        <v>8102904</v>
      </c>
      <c r="G28" s="196">
        <f t="shared" si="7"/>
        <v>6095442</v>
      </c>
      <c r="H28" s="196">
        <f t="shared" si="7"/>
        <v>6566315</v>
      </c>
      <c r="I28" s="196">
        <f t="shared" si="7"/>
        <v>2415687</v>
      </c>
      <c r="J28" s="196">
        <f t="shared" si="7"/>
        <v>2752003</v>
      </c>
      <c r="K28" s="196">
        <f t="shared" si="7"/>
        <v>3479268</v>
      </c>
      <c r="L28" s="196">
        <f t="shared" si="7"/>
        <v>7265783</v>
      </c>
      <c r="M28" s="196">
        <f t="shared" si="7"/>
        <v>19367149</v>
      </c>
      <c r="N28" s="100">
        <f t="shared" si="6"/>
        <v>71764920</v>
      </c>
      <c r="O28" s="187">
        <f>SUM(O20:O27)</f>
        <v>80184256</v>
      </c>
    </row>
    <row r="29" spans="1:15" ht="15.75" x14ac:dyDescent="0.25">
      <c r="A29" s="32" t="s">
        <v>209</v>
      </c>
      <c r="B29" s="31">
        <v>32940</v>
      </c>
      <c r="C29" s="31"/>
      <c r="D29" s="31"/>
      <c r="E29" s="31">
        <v>65792</v>
      </c>
      <c r="F29" s="31">
        <v>53455</v>
      </c>
      <c r="G29" s="31">
        <v>8990</v>
      </c>
      <c r="H29" s="31">
        <v>29990</v>
      </c>
      <c r="I29" s="31"/>
      <c r="J29" s="31">
        <v>1500000</v>
      </c>
      <c r="K29" s="31">
        <v>2667000</v>
      </c>
      <c r="L29" s="31">
        <v>30000</v>
      </c>
      <c r="M29" s="31">
        <f>1378833+635000</f>
        <v>2013833</v>
      </c>
      <c r="N29" s="100">
        <f t="shared" si="6"/>
        <v>6402000</v>
      </c>
      <c r="O29" s="201">
        <f>'1.sz.tábla'!E27</f>
        <v>6402000</v>
      </c>
    </row>
    <row r="30" spans="1:15" ht="15.75" x14ac:dyDescent="0.25">
      <c r="A30" s="32" t="s">
        <v>210</v>
      </c>
      <c r="B30" s="31">
        <v>2399231</v>
      </c>
      <c r="C30" s="31">
        <v>60000</v>
      </c>
      <c r="D30" s="31">
        <v>48900</v>
      </c>
      <c r="E30" s="31">
        <v>30000</v>
      </c>
      <c r="F30" s="31">
        <v>165200</v>
      </c>
      <c r="G30" s="31">
        <v>3993510</v>
      </c>
      <c r="H30" s="31">
        <v>30000</v>
      </c>
      <c r="I30" s="31">
        <v>30000</v>
      </c>
      <c r="J30" s="31">
        <v>60000</v>
      </c>
      <c r="K30" s="31">
        <v>500000</v>
      </c>
      <c r="L30" s="31">
        <f>12738922+2248045+60000</f>
        <v>15046967</v>
      </c>
      <c r="M30" s="31">
        <v>2870000</v>
      </c>
      <c r="N30" s="100">
        <f>SUM(B30:M30)</f>
        <v>25233808</v>
      </c>
      <c r="O30" s="187">
        <f>'1.sz.tábla'!D28</f>
        <v>25233808</v>
      </c>
    </row>
    <row r="31" spans="1:15" ht="15.75" x14ac:dyDescent="0.25">
      <c r="A31" s="32" t="s">
        <v>287</v>
      </c>
      <c r="B31" s="31"/>
      <c r="C31" s="31"/>
      <c r="D31" s="31"/>
      <c r="E31" s="31"/>
      <c r="F31" s="31">
        <v>75000</v>
      </c>
      <c r="G31" s="31"/>
      <c r="H31" s="31"/>
      <c r="I31" s="31"/>
      <c r="J31" s="31"/>
      <c r="K31" s="31"/>
      <c r="L31" s="31"/>
      <c r="M31" s="31"/>
      <c r="N31" s="100">
        <f t="shared" si="6"/>
        <v>75000</v>
      </c>
    </row>
    <row r="32" spans="1:15" ht="15.75" x14ac:dyDescent="0.25">
      <c r="A32" s="195" t="s">
        <v>211</v>
      </c>
      <c r="B32" s="196">
        <f>SUM(B30:B31)</f>
        <v>2399231</v>
      </c>
      <c r="C32" s="196">
        <f>SUM(C29:C31)</f>
        <v>60000</v>
      </c>
      <c r="D32" s="196">
        <f t="shared" ref="D32:M32" si="8">SUM(D29:D31)</f>
        <v>48900</v>
      </c>
      <c r="E32" s="196">
        <f t="shared" si="8"/>
        <v>95792</v>
      </c>
      <c r="F32" s="196">
        <f t="shared" si="8"/>
        <v>293655</v>
      </c>
      <c r="G32" s="196">
        <f t="shared" si="8"/>
        <v>4002500</v>
      </c>
      <c r="H32" s="196">
        <f t="shared" si="8"/>
        <v>59990</v>
      </c>
      <c r="I32" s="196">
        <f t="shared" si="8"/>
        <v>30000</v>
      </c>
      <c r="J32" s="196">
        <f t="shared" si="8"/>
        <v>1560000</v>
      </c>
      <c r="K32" s="196">
        <f t="shared" si="8"/>
        <v>3167000</v>
      </c>
      <c r="L32" s="196">
        <f t="shared" si="8"/>
        <v>15076967</v>
      </c>
      <c r="M32" s="196">
        <f t="shared" si="8"/>
        <v>4883833</v>
      </c>
      <c r="N32" s="100">
        <f t="shared" si="6"/>
        <v>31677868</v>
      </c>
      <c r="O32" s="187">
        <f>'1.sz.tábla'!F25</f>
        <v>635000</v>
      </c>
    </row>
    <row r="33" spans="1:15" ht="15.75" x14ac:dyDescent="0.25">
      <c r="A33" s="67" t="s">
        <v>21</v>
      </c>
      <c r="B33" s="197">
        <f>SUM(B32,B28)</f>
        <v>6496241</v>
      </c>
      <c r="C33" s="197">
        <f>SUM(C32,C28)</f>
        <v>2732972</v>
      </c>
      <c r="D33" s="197">
        <f>SUM(D32,D28)</f>
        <v>2510323</v>
      </c>
      <c r="E33" s="197">
        <f>SUM(E32,E28)</f>
        <v>6584756</v>
      </c>
      <c r="F33" s="197">
        <f t="shared" ref="F33:M33" si="9">SUM(F32,F28)</f>
        <v>8396559</v>
      </c>
      <c r="G33" s="197">
        <f t="shared" si="9"/>
        <v>10097942</v>
      </c>
      <c r="H33" s="197">
        <f t="shared" si="9"/>
        <v>6626305</v>
      </c>
      <c r="I33" s="197">
        <f t="shared" si="9"/>
        <v>2445687</v>
      </c>
      <c r="J33" s="197">
        <f t="shared" si="9"/>
        <v>4312003</v>
      </c>
      <c r="K33" s="197">
        <f t="shared" si="9"/>
        <v>6646268</v>
      </c>
      <c r="L33" s="197">
        <f t="shared" si="9"/>
        <v>22342750</v>
      </c>
      <c r="M33" s="197">
        <f t="shared" si="9"/>
        <v>24250982</v>
      </c>
      <c r="N33" s="230">
        <f t="shared" si="6"/>
        <v>103442788</v>
      </c>
      <c r="O33" s="187">
        <f>'1.sz.tábla'!D34</f>
        <v>111984369</v>
      </c>
    </row>
    <row r="34" spans="1:15" ht="47.25" x14ac:dyDescent="0.25">
      <c r="A34" s="67" t="s">
        <v>288</v>
      </c>
      <c r="B34" s="197"/>
      <c r="C34" s="197">
        <v>142982</v>
      </c>
      <c r="D34" s="197">
        <f>1131641+56420</f>
        <v>1188061</v>
      </c>
      <c r="E34" s="197">
        <v>33659</v>
      </c>
      <c r="F34" s="197">
        <v>35262</v>
      </c>
      <c r="G34" s="197">
        <v>35262</v>
      </c>
      <c r="H34" s="197">
        <v>35262</v>
      </c>
      <c r="I34" s="197">
        <v>35262</v>
      </c>
      <c r="J34" s="197">
        <v>35262</v>
      </c>
      <c r="K34" s="197">
        <v>44953</v>
      </c>
      <c r="L34" s="197">
        <v>44953</v>
      </c>
      <c r="M34" s="197">
        <v>60723</v>
      </c>
      <c r="N34" s="100">
        <f t="shared" si="6"/>
        <v>1691641</v>
      </c>
      <c r="O34" s="187">
        <v>1691641</v>
      </c>
    </row>
    <row r="35" spans="1:15" ht="15.75" x14ac:dyDescent="0.25">
      <c r="A35" s="66" t="s">
        <v>24</v>
      </c>
      <c r="B35" s="202">
        <f>SUM(B33:B34)</f>
        <v>6496241</v>
      </c>
      <c r="C35" s="202">
        <f t="shared" ref="C35:M35" si="10">SUM(C33:C34)</f>
        <v>2875954</v>
      </c>
      <c r="D35" s="202">
        <f>SUM(D33:D34)-D22*2</f>
        <v>2258460</v>
      </c>
      <c r="E35" s="202">
        <f t="shared" si="10"/>
        <v>6618415</v>
      </c>
      <c r="F35" s="202">
        <f t="shared" si="10"/>
        <v>8431821</v>
      </c>
      <c r="G35" s="202">
        <f t="shared" si="10"/>
        <v>10133204</v>
      </c>
      <c r="H35" s="202">
        <f t="shared" si="10"/>
        <v>6661567</v>
      </c>
      <c r="I35" s="202">
        <f>SUM(I33:I34)-I22*2</f>
        <v>2224049</v>
      </c>
      <c r="J35" s="202">
        <f t="shared" si="10"/>
        <v>4347265</v>
      </c>
      <c r="K35" s="202">
        <f t="shared" si="10"/>
        <v>6691221</v>
      </c>
      <c r="L35" s="202">
        <f t="shared" si="10"/>
        <v>22387703</v>
      </c>
      <c r="M35" s="202">
        <f t="shared" si="10"/>
        <v>24311705</v>
      </c>
      <c r="N35" s="230">
        <f t="shared" si="6"/>
        <v>103437605</v>
      </c>
      <c r="O35" s="187">
        <f>'1.sz.tábla'!F38</f>
        <v>799640</v>
      </c>
    </row>
    <row r="36" spans="1:15" ht="16.5" thickBot="1" x14ac:dyDescent="0.3">
      <c r="A36" s="203" t="s">
        <v>289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100">
        <f t="shared" si="6"/>
        <v>0</v>
      </c>
    </row>
    <row r="37" spans="1:15" ht="16.5" thickBot="1" x14ac:dyDescent="0.3">
      <c r="A37" s="205" t="s">
        <v>212</v>
      </c>
      <c r="B37" s="206">
        <f>B6+B16+B17-B35-B36</f>
        <v>40924579</v>
      </c>
      <c r="C37" s="206">
        <f t="shared" ref="C37:N37" si="11">C6+C16+C17-C35-C36</f>
        <v>41967375</v>
      </c>
      <c r="D37" s="206">
        <f t="shared" si="11"/>
        <v>50822651</v>
      </c>
      <c r="E37" s="206">
        <f t="shared" si="11"/>
        <v>47871696</v>
      </c>
      <c r="F37" s="206">
        <f t="shared" si="11"/>
        <v>45817881</v>
      </c>
      <c r="G37" s="206">
        <f t="shared" si="11"/>
        <v>48404705</v>
      </c>
      <c r="H37" s="206">
        <f t="shared" si="11"/>
        <v>44980684</v>
      </c>
      <c r="I37" s="206">
        <f t="shared" si="11"/>
        <v>47696148</v>
      </c>
      <c r="J37" s="206">
        <f t="shared" si="11"/>
        <v>58086685</v>
      </c>
      <c r="K37" s="206">
        <f t="shared" si="11"/>
        <v>57115785</v>
      </c>
      <c r="L37" s="206">
        <f t="shared" si="11"/>
        <v>37584066</v>
      </c>
      <c r="M37" s="206">
        <f t="shared" si="11"/>
        <v>17396472</v>
      </c>
      <c r="N37" s="206">
        <f t="shared" si="11"/>
        <v>17371962</v>
      </c>
      <c r="O37" s="187"/>
    </row>
    <row r="39" spans="1:15" x14ac:dyDescent="0.2">
      <c r="N39" s="187">
        <f>SUM(N20)</f>
        <v>19418089</v>
      </c>
    </row>
  </sheetData>
  <sheetProtection selectLockedCells="1" selectUnlockedCells="1"/>
  <mergeCells count="2">
    <mergeCell ref="M2:N2"/>
    <mergeCell ref="A3:N3"/>
  </mergeCells>
  <phoneticPr fontId="19" type="noConversion"/>
  <pageMargins left="0" right="0" top="0.74803149606299213" bottom="0.74803149606299213" header="0.31496062992125984" footer="0.31496062992125984"/>
  <pageSetup paperSize="9" scale="60" firstPageNumber="0" orientation="landscape" r:id="rId1"/>
  <headerFooter alignWithMargins="0">
    <oddHeader>&amp;L&amp;"Times New Roman,Normál"&amp;12Pécsely Község Önkormányzata&amp;C&amp;"Times New Roman,Normál"&amp;12 8. melléklet
Az önkormányzat 2018. évi költségvetéséről szóló .../2018. (.....) önkormányzati rendelet tervezethez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10</vt:i4>
      </vt:variant>
    </vt:vector>
  </HeadingPairs>
  <TitlesOfParts>
    <vt:vector size="20" baseType="lpstr">
      <vt:lpstr>1.sz.tábla</vt:lpstr>
      <vt:lpstr>2.sz.tábla</vt:lpstr>
      <vt:lpstr>2a. tábla</vt:lpstr>
      <vt:lpstr>3.tábla</vt:lpstr>
      <vt:lpstr>4. sz. tábla</vt:lpstr>
      <vt:lpstr>5.sz.tábla </vt:lpstr>
      <vt:lpstr>6. sz. tábla </vt:lpstr>
      <vt:lpstr>7. sz. tábla</vt:lpstr>
      <vt:lpstr>8. sz. tábla </vt:lpstr>
      <vt:lpstr>9. sz. tábla</vt:lpstr>
      <vt:lpstr>'1.sz.tábla'!Nyomtatási_terület</vt:lpstr>
      <vt:lpstr>'2.sz.tábla'!Nyomtatási_terület</vt:lpstr>
      <vt:lpstr>'2a. tábla'!Nyomtatási_terület</vt:lpstr>
      <vt:lpstr>'3.tábla'!Nyomtatási_terület</vt:lpstr>
      <vt:lpstr>'4. sz. tábla'!Nyomtatási_terület</vt:lpstr>
      <vt:lpstr>'5.sz.tábla '!Nyomtatási_terület</vt:lpstr>
      <vt:lpstr>'6. sz. tábla '!Nyomtatási_terület</vt:lpstr>
      <vt:lpstr>'7. sz. tábla'!Nyomtatási_terület</vt:lpstr>
      <vt:lpstr>'8. sz. tábla '!Nyomtatási_terület</vt:lpstr>
      <vt:lpstr>'9. sz. tábla'!Nyomtatási_terület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Hossó Erika</cp:lastModifiedBy>
  <cp:lastPrinted>2018-12-05T14:54:34Z</cp:lastPrinted>
  <dcterms:created xsi:type="dcterms:W3CDTF">2014-05-27T12:51:39Z</dcterms:created>
  <dcterms:modified xsi:type="dcterms:W3CDTF">2018-12-05T14:55:41Z</dcterms:modified>
</cp:coreProperties>
</file>