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285" windowWidth="14400" windowHeight="11400" activeTab="3"/>
  </bookViews>
  <sheets>
    <sheet name="1.sz.tábla" sheetId="42" r:id="rId1"/>
    <sheet name="2.sz.tábla" sheetId="41" r:id="rId2"/>
    <sheet name="2a. tábla" sheetId="82" r:id="rId3"/>
    <sheet name="3.tábla" sheetId="40" r:id="rId4"/>
    <sheet name="4. sz. tábla" sheetId="49" r:id="rId5"/>
    <sheet name="5.sz.tábla " sheetId="70" r:id="rId6"/>
    <sheet name="6. sz. tábla " sheetId="51" r:id="rId7"/>
    <sheet name="7. sz. tábla" sheetId="62" r:id="rId8"/>
    <sheet name="8. sz. tábla " sheetId="21" r:id="rId9"/>
  </sheets>
  <externalReferences>
    <externalReference r:id="rId10"/>
  </externalReferences>
  <definedNames>
    <definedName name="_xlnm.Print_Area" localSheetId="0">'1.sz.tábla'!$A$1:$H$35</definedName>
    <definedName name="_xlnm.Print_Area" localSheetId="1">'2.sz.tábla'!$A$1:$H$96</definedName>
    <definedName name="_xlnm.Print_Area" localSheetId="3">'3.tábla'!$A$1:$H$50</definedName>
    <definedName name="_xlnm.Print_Area" localSheetId="4">'4. sz. tábla'!$A$2:$H$88</definedName>
    <definedName name="_xlnm.Print_Area" localSheetId="5">'5.sz.tábla '!$A$1:$H$55</definedName>
    <definedName name="_xlnm.Print_Area" localSheetId="6">'6. sz. tábla '!$A$1:$P$61</definedName>
    <definedName name="_xlnm.Print_Area" localSheetId="7">'7. sz. tábla'!$A$2:$P$91</definedName>
    <definedName name="_xlnm.Print_Area" localSheetId="8">'8. sz. tábla '!$A$1:$N$49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M8" i="21" l="1"/>
  <c r="M9" i="21"/>
  <c r="O34" i="21"/>
  <c r="O31" i="21"/>
  <c r="O30" i="21"/>
  <c r="O29" i="21"/>
  <c r="O27" i="21"/>
  <c r="O26" i="21"/>
  <c r="O25" i="21"/>
  <c r="O24" i="21"/>
  <c r="O23" i="21"/>
  <c r="O22" i="21"/>
  <c r="O21" i="21"/>
  <c r="O20" i="21"/>
  <c r="O18" i="21"/>
  <c r="O17" i="21"/>
  <c r="O14" i="21"/>
  <c r="O13" i="21"/>
  <c r="O12" i="21"/>
  <c r="O10" i="21"/>
  <c r="O9" i="21"/>
  <c r="O8" i="21"/>
  <c r="O7" i="21"/>
  <c r="O19" i="62"/>
  <c r="G19" i="62"/>
  <c r="O16" i="51"/>
  <c r="G25" i="51"/>
  <c r="G24" i="51"/>
  <c r="G56" i="51"/>
  <c r="O20" i="51"/>
  <c r="O7" i="51"/>
  <c r="O8" i="62" s="1"/>
  <c r="G7" i="51"/>
  <c r="G8" i="51"/>
  <c r="G9" i="51"/>
  <c r="G10" i="51"/>
  <c r="G20" i="51"/>
  <c r="O36" i="51"/>
  <c r="O56" i="62" s="1"/>
  <c r="O59" i="62" s="1"/>
  <c r="O62" i="62" s="1"/>
  <c r="O34" i="51"/>
  <c r="O33" i="51"/>
  <c r="O31" i="51"/>
  <c r="G33" i="51"/>
  <c r="G32" i="51"/>
  <c r="G31" i="51"/>
  <c r="G13" i="42"/>
  <c r="G15" i="42" s="1"/>
  <c r="G16" i="42" s="1"/>
  <c r="G14" i="42"/>
  <c r="G11" i="42"/>
  <c r="G10" i="42"/>
  <c r="G9" i="42"/>
  <c r="G8" i="42"/>
  <c r="G7" i="42"/>
  <c r="G6" i="42"/>
  <c r="G5" i="42"/>
  <c r="G4" i="42"/>
  <c r="G29" i="42"/>
  <c r="G92" i="41"/>
  <c r="G81" i="41" s="1"/>
  <c r="G9" i="41"/>
  <c r="H9" i="41" s="1"/>
  <c r="G11" i="41"/>
  <c r="H11" i="41" s="1"/>
  <c r="G18" i="41"/>
  <c r="G20" i="41"/>
  <c r="H20" i="41" s="1"/>
  <c r="G21" i="41"/>
  <c r="H21" i="41" s="1"/>
  <c r="G32" i="41"/>
  <c r="H32" i="41" s="1"/>
  <c r="G33" i="41"/>
  <c r="H33" i="41" s="1"/>
  <c r="G36" i="41"/>
  <c r="G37" i="41"/>
  <c r="H37" i="41" s="1"/>
  <c r="G38" i="41"/>
  <c r="G39" i="41"/>
  <c r="G40" i="41"/>
  <c r="G42" i="41"/>
  <c r="G41" i="41" s="1"/>
  <c r="H41" i="41" s="1"/>
  <c r="G45" i="41"/>
  <c r="H45" i="41" s="1"/>
  <c r="G46" i="41"/>
  <c r="H46" i="41" s="1"/>
  <c r="G48" i="41"/>
  <c r="G50" i="41"/>
  <c r="G51" i="41"/>
  <c r="G54" i="41"/>
  <c r="H54" i="41" s="1"/>
  <c r="G55" i="41"/>
  <c r="H55" i="41" s="1"/>
  <c r="G58" i="41"/>
  <c r="G57" i="41"/>
  <c r="H57" i="41" s="1"/>
  <c r="G59" i="41"/>
  <c r="H59" i="41" s="1"/>
  <c r="G65" i="41"/>
  <c r="G71" i="41"/>
  <c r="G78" i="41"/>
  <c r="H78" i="41" s="1"/>
  <c r="G82" i="41"/>
  <c r="H82" i="41" s="1"/>
  <c r="G86" i="41"/>
  <c r="H86" i="41" s="1"/>
  <c r="H90" i="41"/>
  <c r="H91" i="41"/>
  <c r="H92" i="41"/>
  <c r="H95" i="41"/>
  <c r="H96" i="41"/>
  <c r="H79" i="41"/>
  <c r="H80" i="41"/>
  <c r="H83" i="41"/>
  <c r="H84" i="41"/>
  <c r="H85" i="41"/>
  <c r="H87" i="41"/>
  <c r="H88" i="41"/>
  <c r="H89" i="41"/>
  <c r="H72" i="41"/>
  <c r="H73" i="41"/>
  <c r="H74" i="41"/>
  <c r="H75" i="41"/>
  <c r="H77" i="41"/>
  <c r="H71" i="41"/>
  <c r="H66" i="41"/>
  <c r="H67" i="41"/>
  <c r="H68" i="41"/>
  <c r="H49" i="41"/>
  <c r="H50" i="41"/>
  <c r="H51" i="41"/>
  <c r="H52" i="41"/>
  <c r="H53" i="41"/>
  <c r="H56" i="41"/>
  <c r="H58" i="41"/>
  <c r="H60" i="41"/>
  <c r="H61" i="41"/>
  <c r="H62" i="41"/>
  <c r="H63" i="41"/>
  <c r="H64" i="41"/>
  <c r="H65" i="41"/>
  <c r="H34" i="41"/>
  <c r="H35" i="41"/>
  <c r="H36" i="41"/>
  <c r="H38" i="41"/>
  <c r="H39" i="41"/>
  <c r="H40" i="41"/>
  <c r="H43" i="41"/>
  <c r="H44" i="41"/>
  <c r="H47" i="41"/>
  <c r="H48" i="41"/>
  <c r="H27" i="41"/>
  <c r="H28" i="41"/>
  <c r="H29" i="41"/>
  <c r="H15" i="41"/>
  <c r="H16" i="41"/>
  <c r="H17" i="41"/>
  <c r="H18" i="41"/>
  <c r="H19" i="41"/>
  <c r="H22" i="41"/>
  <c r="H23" i="41"/>
  <c r="H24" i="41"/>
  <c r="H25" i="41"/>
  <c r="H26" i="41"/>
  <c r="H7" i="41"/>
  <c r="H8" i="41"/>
  <c r="H10" i="41"/>
  <c r="H12" i="41"/>
  <c r="H13" i="41"/>
  <c r="H14" i="41"/>
  <c r="G6" i="41"/>
  <c r="G5" i="41" s="1"/>
  <c r="H5" i="41" s="1"/>
  <c r="G18" i="42"/>
  <c r="G19" i="42"/>
  <c r="G24" i="42"/>
  <c r="G23" i="42" s="1"/>
  <c r="G25" i="42"/>
  <c r="G26" i="42"/>
  <c r="G33" i="42"/>
  <c r="G34" i="42" s="1"/>
  <c r="H12" i="42"/>
  <c r="H17" i="42"/>
  <c r="H20" i="42"/>
  <c r="H21" i="42"/>
  <c r="H22" i="42"/>
  <c r="H27" i="42"/>
  <c r="H30" i="42"/>
  <c r="H32" i="42"/>
  <c r="G32" i="40"/>
  <c r="O14" i="51" s="1"/>
  <c r="G31" i="40"/>
  <c r="O13" i="51" s="1"/>
  <c r="O9" i="62"/>
  <c r="O10" i="62"/>
  <c r="O11" i="62"/>
  <c r="O13" i="62"/>
  <c r="O14" i="62"/>
  <c r="O16" i="62"/>
  <c r="O43" i="62"/>
  <c r="O47" i="62" s="1"/>
  <c r="O49" i="62" s="1"/>
  <c r="O44" i="62"/>
  <c r="G47" i="62"/>
  <c r="G49" i="62" s="1"/>
  <c r="G59" i="62"/>
  <c r="G62" i="62" s="1"/>
  <c r="G78" i="62"/>
  <c r="G80" i="62" s="1"/>
  <c r="O78" i="62"/>
  <c r="O80" i="62" s="1"/>
  <c r="O89" i="62"/>
  <c r="G86" i="62"/>
  <c r="G89" i="62" s="1"/>
  <c r="O12" i="51"/>
  <c r="O10" i="51"/>
  <c r="O9" i="51"/>
  <c r="O8" i="51"/>
  <c r="O41" i="51"/>
  <c r="O57" i="51" s="1"/>
  <c r="G41" i="51"/>
  <c r="G57" i="51" s="1"/>
  <c r="G43" i="51"/>
  <c r="G19" i="70"/>
  <c r="H19" i="70" s="1"/>
  <c r="G41" i="70"/>
  <c r="G52" i="70"/>
  <c r="H6" i="70"/>
  <c r="H7" i="70"/>
  <c r="H8" i="70"/>
  <c r="H9" i="70"/>
  <c r="H10" i="70"/>
  <c r="H11" i="70"/>
  <c r="H12" i="70"/>
  <c r="H13" i="70"/>
  <c r="H14" i="70"/>
  <c r="H15" i="70"/>
  <c r="H16" i="70"/>
  <c r="H17" i="70"/>
  <c r="H18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H32" i="70"/>
  <c r="H33" i="70"/>
  <c r="H34" i="70"/>
  <c r="H35" i="70"/>
  <c r="H36" i="70"/>
  <c r="H37" i="70"/>
  <c r="H38" i="70"/>
  <c r="H39" i="70"/>
  <c r="H40" i="70"/>
  <c r="H42" i="70"/>
  <c r="H43" i="70"/>
  <c r="H44" i="70"/>
  <c r="H45" i="70"/>
  <c r="H47" i="70"/>
  <c r="H48" i="70"/>
  <c r="H49" i="70"/>
  <c r="H50" i="70"/>
  <c r="H51" i="70"/>
  <c r="H53" i="70"/>
  <c r="H54" i="70"/>
  <c r="H5" i="70"/>
  <c r="G4" i="49"/>
  <c r="H4" i="49" s="1"/>
  <c r="G13" i="49"/>
  <c r="H5" i="49"/>
  <c r="H6" i="49"/>
  <c r="H7" i="49"/>
  <c r="H8" i="49"/>
  <c r="H9" i="49"/>
  <c r="H10" i="49"/>
  <c r="H11" i="49"/>
  <c r="H12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G48" i="40"/>
  <c r="H48" i="40" s="1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3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9" i="40"/>
  <c r="H7" i="40"/>
  <c r="G9" i="40"/>
  <c r="G25" i="40"/>
  <c r="G22" i="40"/>
  <c r="G19" i="40"/>
  <c r="G16" i="40"/>
  <c r="G15" i="40"/>
  <c r="G14" i="40"/>
  <c r="G21" i="51" l="1"/>
  <c r="G59" i="51" s="1"/>
  <c r="G58" i="51" s="1"/>
  <c r="G19" i="51"/>
  <c r="G55" i="51" s="1"/>
  <c r="G39" i="51"/>
  <c r="G46" i="51" s="1"/>
  <c r="H6" i="41"/>
  <c r="H42" i="41"/>
  <c r="G76" i="41"/>
  <c r="H76" i="41" s="1"/>
  <c r="G93" i="41"/>
  <c r="H93" i="41" s="1"/>
  <c r="H81" i="41"/>
  <c r="G28" i="42"/>
  <c r="O63" i="62"/>
  <c r="G63" i="62"/>
  <c r="G60" i="51"/>
  <c r="G46" i="70"/>
  <c r="H46" i="70" s="1"/>
  <c r="H41" i="70"/>
  <c r="H52" i="70"/>
  <c r="G26" i="49"/>
  <c r="H26" i="49" s="1"/>
  <c r="H13" i="49"/>
  <c r="G34" i="40" s="1"/>
  <c r="O11" i="51" s="1"/>
  <c r="F22" i="40"/>
  <c r="F19" i="40"/>
  <c r="G94" i="41" l="1"/>
  <c r="H94" i="41" s="1"/>
  <c r="G31" i="42"/>
  <c r="G35" i="42" s="1"/>
  <c r="G55" i="70"/>
  <c r="H55" i="70" s="1"/>
  <c r="G50" i="40"/>
  <c r="M7" i="21"/>
  <c r="M20" i="21"/>
  <c r="M21" i="21"/>
  <c r="M23" i="21"/>
  <c r="B30" i="21"/>
  <c r="M30" i="21"/>
  <c r="F86" i="62" l="1"/>
  <c r="F89" i="62" s="1"/>
  <c r="N89" i="62"/>
  <c r="N78" i="62"/>
  <c r="N80" i="62" s="1"/>
  <c r="F78" i="62"/>
  <c r="F80" i="62" s="1"/>
  <c r="F59" i="62"/>
  <c r="F62" i="62" s="1"/>
  <c r="N44" i="62"/>
  <c r="N43" i="62"/>
  <c r="F47" i="62"/>
  <c r="F49" i="62" s="1"/>
  <c r="N16" i="62"/>
  <c r="N14" i="62"/>
  <c r="F43" i="51"/>
  <c r="F60" i="51" s="1"/>
  <c r="F41" i="51"/>
  <c r="F57" i="51" s="1"/>
  <c r="F31" i="51"/>
  <c r="F22" i="62" s="1"/>
  <c r="N41" i="51"/>
  <c r="N57" i="51" s="1"/>
  <c r="N36" i="51"/>
  <c r="N34" i="51" s="1"/>
  <c r="N12" i="51"/>
  <c r="N13" i="62" s="1"/>
  <c r="N10" i="51"/>
  <c r="N11" i="62" s="1"/>
  <c r="N8" i="51"/>
  <c r="N9" i="62" s="1"/>
  <c r="N7" i="51"/>
  <c r="N8" i="62" s="1"/>
  <c r="F25" i="51"/>
  <c r="F24" i="51"/>
  <c r="F20" i="51"/>
  <c r="F19" i="51" s="1"/>
  <c r="F56" i="51" s="1"/>
  <c r="F29" i="42"/>
  <c r="H29" i="42" s="1"/>
  <c r="F57" i="41"/>
  <c r="F55" i="41"/>
  <c r="F54" i="41"/>
  <c r="F51" i="41"/>
  <c r="F48" i="41"/>
  <c r="F50" i="41"/>
  <c r="F45" i="41"/>
  <c r="F42" i="41"/>
  <c r="F41" i="41" s="1"/>
  <c r="F40" i="41"/>
  <c r="F39" i="41"/>
  <c r="F38" i="41"/>
  <c r="F36" i="41"/>
  <c r="F35" i="41"/>
  <c r="F18" i="41"/>
  <c r="F9" i="41"/>
  <c r="F6" i="41" s="1"/>
  <c r="F33" i="42"/>
  <c r="F28" i="42"/>
  <c r="F26" i="42"/>
  <c r="H26" i="42" s="1"/>
  <c r="F25" i="42"/>
  <c r="F24" i="42"/>
  <c r="H24" i="42" s="1"/>
  <c r="F14" i="42"/>
  <c r="H14" i="42" s="1"/>
  <c r="F13" i="42"/>
  <c r="F9" i="42"/>
  <c r="H9" i="42" s="1"/>
  <c r="F5" i="42"/>
  <c r="F11" i="41"/>
  <c r="F21" i="41"/>
  <c r="E21" i="41"/>
  <c r="F59" i="41"/>
  <c r="F8" i="42" s="1"/>
  <c r="H8" i="42" s="1"/>
  <c r="F65" i="41"/>
  <c r="F93" i="41"/>
  <c r="F92" i="41"/>
  <c r="F86" i="41"/>
  <c r="F82" i="41"/>
  <c r="F78" i="41"/>
  <c r="F71" i="41"/>
  <c r="F52" i="70"/>
  <c r="F41" i="70"/>
  <c r="F19" i="70"/>
  <c r="F26" i="49"/>
  <c r="F13" i="49"/>
  <c r="F4" i="49"/>
  <c r="E6" i="49"/>
  <c r="F46" i="40"/>
  <c r="F47" i="40"/>
  <c r="E32" i="40"/>
  <c r="F20" i="40"/>
  <c r="F16" i="40"/>
  <c r="F8" i="40"/>
  <c r="F7" i="40"/>
  <c r="F48" i="40"/>
  <c r="H28" i="42" l="1"/>
  <c r="H5" i="42"/>
  <c r="F34" i="42"/>
  <c r="H34" i="42" s="1"/>
  <c r="H33" i="42"/>
  <c r="N16" i="51"/>
  <c r="N17" i="62" s="1"/>
  <c r="H25" i="42"/>
  <c r="F15" i="42"/>
  <c r="H15" i="42" s="1"/>
  <c r="H13" i="42"/>
  <c r="F10" i="51"/>
  <c r="F11" i="62" s="1"/>
  <c r="F32" i="51"/>
  <c r="F23" i="62" s="1"/>
  <c r="N47" i="62"/>
  <c r="N49" i="62" s="1"/>
  <c r="F63" i="62"/>
  <c r="N56" i="62"/>
  <c r="N59" i="62" s="1"/>
  <c r="N62" i="62" s="1"/>
  <c r="N20" i="51"/>
  <c r="N19" i="51" s="1"/>
  <c r="N56" i="51" s="1"/>
  <c r="N55" i="51" s="1"/>
  <c r="N31" i="51"/>
  <c r="N33" i="51"/>
  <c r="N24" i="62" s="1"/>
  <c r="F55" i="51"/>
  <c r="F21" i="51"/>
  <c r="F59" i="51" s="1"/>
  <c r="F58" i="51" s="1"/>
  <c r="F10" i="42"/>
  <c r="H10" i="42" s="1"/>
  <c r="F46" i="41"/>
  <c r="F37" i="41"/>
  <c r="F33" i="41"/>
  <c r="F5" i="41"/>
  <c r="F4" i="42" s="1"/>
  <c r="H4" i="42" s="1"/>
  <c r="F23" i="42"/>
  <c r="H23" i="42" s="1"/>
  <c r="F20" i="41"/>
  <c r="F81" i="41"/>
  <c r="F46" i="70"/>
  <c r="F32" i="40"/>
  <c r="H32" i="40" s="1"/>
  <c r="F31" i="40"/>
  <c r="H31" i="40" s="1"/>
  <c r="F9" i="40"/>
  <c r="L30" i="21"/>
  <c r="M25" i="21"/>
  <c r="M78" i="62"/>
  <c r="M80" i="62" s="1"/>
  <c r="M89" i="62"/>
  <c r="E86" i="62"/>
  <c r="E89" i="62" s="1"/>
  <c r="E78" i="62"/>
  <c r="E80" i="62" s="1"/>
  <c r="E59" i="62"/>
  <c r="E62" i="62" s="1"/>
  <c r="E47" i="62"/>
  <c r="E49" i="62" s="1"/>
  <c r="M44" i="62"/>
  <c r="M43" i="62"/>
  <c r="M16" i="62"/>
  <c r="M14" i="62"/>
  <c r="M36" i="51"/>
  <c r="M34" i="51" s="1"/>
  <c r="M41" i="51"/>
  <c r="M57" i="51" s="1"/>
  <c r="E43" i="51"/>
  <c r="E60" i="51" s="1"/>
  <c r="E41" i="51"/>
  <c r="E57" i="51" s="1"/>
  <c r="H20" i="51"/>
  <c r="H19" i="51" s="1"/>
  <c r="H24" i="51"/>
  <c r="H25" i="51"/>
  <c r="P7" i="51"/>
  <c r="P8" i="51"/>
  <c r="P12" i="51"/>
  <c r="P16" i="51"/>
  <c r="M7" i="51"/>
  <c r="M8" i="62" s="1"/>
  <c r="M8" i="51"/>
  <c r="M9" i="62" s="1"/>
  <c r="M9" i="51"/>
  <c r="M10" i="62" s="1"/>
  <c r="M12" i="51"/>
  <c r="M13" i="62" s="1"/>
  <c r="M14" i="51"/>
  <c r="E25" i="51"/>
  <c r="E24" i="51"/>
  <c r="E20" i="51"/>
  <c r="E19" i="51" s="1"/>
  <c r="E56" i="51" s="1"/>
  <c r="E10" i="42"/>
  <c r="E33" i="51" s="1"/>
  <c r="E24" i="62" s="1"/>
  <c r="D10" i="42"/>
  <c r="C10" i="42"/>
  <c r="E7" i="42"/>
  <c r="E9" i="51" s="1"/>
  <c r="E10" i="62" s="1"/>
  <c r="D7" i="42"/>
  <c r="D8" i="42"/>
  <c r="D9" i="42"/>
  <c r="E93" i="41"/>
  <c r="E92" i="41"/>
  <c r="D92" i="41"/>
  <c r="E86" i="41"/>
  <c r="E82" i="41"/>
  <c r="E79" i="41"/>
  <c r="E78" i="41" s="1"/>
  <c r="E13" i="42" s="1"/>
  <c r="E74" i="41"/>
  <c r="E71" i="41" s="1"/>
  <c r="E65" i="41"/>
  <c r="E9" i="42" s="1"/>
  <c r="E10" i="51" s="1"/>
  <c r="E11" i="62" s="1"/>
  <c r="E59" i="41"/>
  <c r="E51" i="41"/>
  <c r="E46" i="41" s="1"/>
  <c r="E41" i="41"/>
  <c r="D41" i="41"/>
  <c r="E38" i="41"/>
  <c r="D38" i="41"/>
  <c r="E33" i="41"/>
  <c r="E20" i="41"/>
  <c r="E5" i="42" s="1"/>
  <c r="E31" i="51" s="1"/>
  <c r="D21" i="41"/>
  <c r="E19" i="41"/>
  <c r="E18" i="41"/>
  <c r="E6" i="41"/>
  <c r="E48" i="40"/>
  <c r="P10" i="51" s="1"/>
  <c r="E9" i="40"/>
  <c r="E8" i="40"/>
  <c r="E7" i="40"/>
  <c r="E13" i="49"/>
  <c r="E4" i="49"/>
  <c r="E51" i="70"/>
  <c r="E41" i="70"/>
  <c r="E26" i="42" s="1"/>
  <c r="O24" i="62" s="1"/>
  <c r="E19" i="70"/>
  <c r="E25" i="42" s="1"/>
  <c r="E8" i="42"/>
  <c r="E32" i="51" s="1"/>
  <c r="E23" i="62" s="1"/>
  <c r="D29" i="42"/>
  <c r="D28" i="42" s="1"/>
  <c r="E24" i="42"/>
  <c r="O17" i="62" l="1"/>
  <c r="O18" i="62" s="1"/>
  <c r="O17" i="51"/>
  <c r="O51" i="51" s="1"/>
  <c r="F19" i="62"/>
  <c r="E29" i="42"/>
  <c r="E28" i="42" s="1"/>
  <c r="M16" i="51" s="1"/>
  <c r="M17" i="62" s="1"/>
  <c r="N19" i="62"/>
  <c r="O22" i="62"/>
  <c r="O29" i="62" s="1"/>
  <c r="O31" i="62" s="1"/>
  <c r="O39" i="51"/>
  <c r="F7" i="51"/>
  <c r="G11" i="62"/>
  <c r="G22" i="62"/>
  <c r="G24" i="62"/>
  <c r="F33" i="51"/>
  <c r="F24" i="62" s="1"/>
  <c r="F29" i="62" s="1"/>
  <c r="F31" i="62" s="1"/>
  <c r="G23" i="62"/>
  <c r="E63" i="62"/>
  <c r="N63" i="62"/>
  <c r="N22" i="62"/>
  <c r="N29" i="62" s="1"/>
  <c r="N31" i="62" s="1"/>
  <c r="N39" i="51"/>
  <c r="N13" i="51"/>
  <c r="N14" i="51"/>
  <c r="P9" i="51"/>
  <c r="N9" i="51"/>
  <c r="F7" i="42"/>
  <c r="H7" i="42" s="1"/>
  <c r="F32" i="41"/>
  <c r="F76" i="41" s="1"/>
  <c r="F94" i="41" s="1"/>
  <c r="F55" i="70"/>
  <c r="F34" i="40"/>
  <c r="H34" i="40" s="1"/>
  <c r="E31" i="40"/>
  <c r="M10" i="51"/>
  <c r="M11" i="62" s="1"/>
  <c r="M18" i="62" s="1"/>
  <c r="M47" i="62"/>
  <c r="M49" i="62" s="1"/>
  <c r="H21" i="51"/>
  <c r="E55" i="51"/>
  <c r="M31" i="51"/>
  <c r="M22" i="62" s="1"/>
  <c r="M56" i="62"/>
  <c r="M59" i="62" s="1"/>
  <c r="M62" i="62" s="1"/>
  <c r="E39" i="51"/>
  <c r="E22" i="62"/>
  <c r="E29" i="62" s="1"/>
  <c r="E31" i="62" s="1"/>
  <c r="M33" i="51"/>
  <c r="M24" i="62" s="1"/>
  <c r="M29" i="62" s="1"/>
  <c r="M31" i="62" s="1"/>
  <c r="E21" i="51"/>
  <c r="E59" i="51" s="1"/>
  <c r="E58" i="51" s="1"/>
  <c r="D37" i="41"/>
  <c r="E81" i="41"/>
  <c r="E14" i="42" s="1"/>
  <c r="E37" i="41"/>
  <c r="E32" i="41" s="1"/>
  <c r="E6" i="42" s="1"/>
  <c r="E8" i="51" s="1"/>
  <c r="E9" i="62" s="1"/>
  <c r="E5" i="41"/>
  <c r="E26" i="49"/>
  <c r="E52" i="70"/>
  <c r="E46" i="70"/>
  <c r="H10" i="51"/>
  <c r="E23" i="42"/>
  <c r="G29" i="62" l="1"/>
  <c r="G31" i="62" s="1"/>
  <c r="E15" i="42"/>
  <c r="F39" i="51"/>
  <c r="G10" i="62"/>
  <c r="F9" i="51"/>
  <c r="F10" i="62" s="1"/>
  <c r="O52" i="51"/>
  <c r="O53" i="51" s="1"/>
  <c r="O46" i="51"/>
  <c r="F8" i="62"/>
  <c r="N46" i="51"/>
  <c r="N52" i="51"/>
  <c r="N40" i="51"/>
  <c r="M13" i="51"/>
  <c r="F50" i="40"/>
  <c r="N11" i="51"/>
  <c r="N17" i="51" s="1"/>
  <c r="E34" i="40"/>
  <c r="E50" i="40" s="1"/>
  <c r="N10" i="62"/>
  <c r="N18" i="62" s="1"/>
  <c r="N20" i="62" s="1"/>
  <c r="M63" i="62"/>
  <c r="F6" i="42"/>
  <c r="H6" i="42" s="1"/>
  <c r="E4" i="42"/>
  <c r="E19" i="42"/>
  <c r="E18" i="42" s="1"/>
  <c r="M39" i="51"/>
  <c r="M52" i="51" s="1"/>
  <c r="E52" i="51"/>
  <c r="E46" i="51"/>
  <c r="M11" i="51"/>
  <c r="M17" i="51" s="1"/>
  <c r="E76" i="41"/>
  <c r="E55" i="70"/>
  <c r="E33" i="42"/>
  <c r="O19" i="51" s="1"/>
  <c r="E31" i="42"/>
  <c r="D74" i="41"/>
  <c r="O56" i="51" l="1"/>
  <c r="O55" i="51" s="1"/>
  <c r="O61" i="51" s="1"/>
  <c r="O26" i="51"/>
  <c r="E7" i="51"/>
  <c r="E17" i="51" s="1"/>
  <c r="E51" i="51" s="1"/>
  <c r="E53" i="51" s="1"/>
  <c r="E61" i="51" s="1"/>
  <c r="F52" i="51"/>
  <c r="F46" i="51"/>
  <c r="F8" i="51"/>
  <c r="E19" i="62"/>
  <c r="G52" i="51"/>
  <c r="O40" i="51"/>
  <c r="M46" i="51"/>
  <c r="M40" i="51"/>
  <c r="F19" i="42"/>
  <c r="H50" i="40"/>
  <c r="N26" i="51"/>
  <c r="N51" i="51"/>
  <c r="N53" i="51" s="1"/>
  <c r="N32" i="62"/>
  <c r="N90" i="62"/>
  <c r="G9" i="62"/>
  <c r="F11" i="42"/>
  <c r="H11" i="42" s="1"/>
  <c r="E11" i="42"/>
  <c r="E94" i="41"/>
  <c r="E26" i="51"/>
  <c r="E34" i="42"/>
  <c r="M20" i="51"/>
  <c r="M19" i="51" s="1"/>
  <c r="M56" i="51" s="1"/>
  <c r="M55" i="51" s="1"/>
  <c r="E18" i="51"/>
  <c r="M51" i="51"/>
  <c r="M53" i="51" s="1"/>
  <c r="E16" i="42"/>
  <c r="J22" i="21"/>
  <c r="K22" i="21"/>
  <c r="L22" i="21"/>
  <c r="M22" i="21"/>
  <c r="K21" i="21"/>
  <c r="L21" i="21"/>
  <c r="J21" i="21"/>
  <c r="I21" i="21"/>
  <c r="H21" i="21"/>
  <c r="G20" i="21"/>
  <c r="L20" i="21"/>
  <c r="K20" i="21"/>
  <c r="J20" i="21"/>
  <c r="I20" i="21"/>
  <c r="H20" i="21"/>
  <c r="I7" i="21"/>
  <c r="H7" i="21"/>
  <c r="D51" i="70"/>
  <c r="D43" i="70"/>
  <c r="D41" i="70"/>
  <c r="D5" i="70"/>
  <c r="D26" i="49"/>
  <c r="D24" i="49"/>
  <c r="D13" i="49" s="1"/>
  <c r="D32" i="40" s="1"/>
  <c r="P14" i="51" s="1"/>
  <c r="D11" i="49"/>
  <c r="D5" i="49"/>
  <c r="D48" i="40"/>
  <c r="D25" i="40"/>
  <c r="D24" i="40"/>
  <c r="D22" i="40"/>
  <c r="D21" i="40"/>
  <c r="D11" i="40"/>
  <c r="D8" i="40"/>
  <c r="D7" i="40"/>
  <c r="D20" i="41"/>
  <c r="D86" i="41"/>
  <c r="D82" i="41"/>
  <c r="D79" i="41"/>
  <c r="D78" i="41" s="1"/>
  <c r="D71" i="41"/>
  <c r="D65" i="41"/>
  <c r="D59" i="41"/>
  <c r="D51" i="41"/>
  <c r="D46" i="41" s="1"/>
  <c r="D33" i="41"/>
  <c r="H9" i="51" s="1"/>
  <c r="D18" i="41"/>
  <c r="D19" i="41"/>
  <c r="D6" i="41"/>
  <c r="E8" i="62" l="1"/>
  <c r="E18" i="62" s="1"/>
  <c r="E20" i="62" s="1"/>
  <c r="E90" i="62" s="1"/>
  <c r="F18" i="42"/>
  <c r="H19" i="42"/>
  <c r="G8" i="62"/>
  <c r="G18" i="62" s="1"/>
  <c r="G20" i="62" s="1"/>
  <c r="G17" i="51"/>
  <c r="F9" i="62"/>
  <c r="F18" i="62" s="1"/>
  <c r="F20" i="62" s="1"/>
  <c r="F17" i="51"/>
  <c r="M19" i="62"/>
  <c r="M20" i="62" s="1"/>
  <c r="M32" i="62" s="1"/>
  <c r="O20" i="62"/>
  <c r="N61" i="51"/>
  <c r="F16" i="42"/>
  <c r="H16" i="42" s="1"/>
  <c r="E35" i="42"/>
  <c r="M26" i="51"/>
  <c r="M90" i="62"/>
  <c r="M61" i="51"/>
  <c r="M54" i="51"/>
  <c r="D13" i="42"/>
  <c r="D19" i="70"/>
  <c r="D26" i="42"/>
  <c r="D24" i="42"/>
  <c r="D52" i="70"/>
  <c r="D46" i="70"/>
  <c r="D4" i="49"/>
  <c r="D31" i="40" s="1"/>
  <c r="P13" i="51" s="1"/>
  <c r="D9" i="40"/>
  <c r="L9" i="51" s="1"/>
  <c r="L10" i="62" s="1"/>
  <c r="D5" i="42"/>
  <c r="D81" i="41"/>
  <c r="D32" i="41"/>
  <c r="D5" i="41"/>
  <c r="L36" i="51"/>
  <c r="L56" i="62" s="1"/>
  <c r="L59" i="62" s="1"/>
  <c r="L62" i="62" s="1"/>
  <c r="L41" i="51"/>
  <c r="L57" i="51" s="1"/>
  <c r="D43" i="51"/>
  <c r="D60" i="51" s="1"/>
  <c r="H41" i="51"/>
  <c r="C41" i="51"/>
  <c r="D41" i="51"/>
  <c r="D57" i="51" s="1"/>
  <c r="D33" i="51"/>
  <c r="D24" i="62" s="1"/>
  <c r="D32" i="51"/>
  <c r="D23" i="62" s="1"/>
  <c r="L7" i="51"/>
  <c r="L8" i="62" s="1"/>
  <c r="L8" i="51"/>
  <c r="L9" i="62" s="1"/>
  <c r="D9" i="51"/>
  <c r="D10" i="51"/>
  <c r="D11" i="62" s="1"/>
  <c r="L10" i="51"/>
  <c r="L11" i="62" s="1"/>
  <c r="L12" i="51"/>
  <c r="L13" i="62" s="1"/>
  <c r="L14" i="51"/>
  <c r="L16" i="51"/>
  <c r="L17" i="62" s="1"/>
  <c r="D20" i="51"/>
  <c r="D19" i="51" s="1"/>
  <c r="D56" i="51" s="1"/>
  <c r="D25" i="51"/>
  <c r="D24" i="51"/>
  <c r="L78" i="62"/>
  <c r="L80" i="62" s="1"/>
  <c r="L89" i="62"/>
  <c r="D89" i="62"/>
  <c r="D86" i="62"/>
  <c r="D80" i="62"/>
  <c r="D78" i="62"/>
  <c r="D59" i="62"/>
  <c r="D62" i="62" s="1"/>
  <c r="D47" i="62"/>
  <c r="D49" i="62" s="1"/>
  <c r="L44" i="62"/>
  <c r="L43" i="62"/>
  <c r="L16" i="62"/>
  <c r="L14" i="62"/>
  <c r="E32" i="62" l="1"/>
  <c r="E91" i="62"/>
  <c r="H18" i="42"/>
  <c r="F31" i="42"/>
  <c r="F90" i="62"/>
  <c r="F91" i="62" s="1"/>
  <c r="F32" i="62"/>
  <c r="O90" i="62"/>
  <c r="O32" i="62"/>
  <c r="G26" i="51"/>
  <c r="G18" i="51"/>
  <c r="G51" i="51"/>
  <c r="G53" i="51" s="1"/>
  <c r="F51" i="51"/>
  <c r="F53" i="51" s="1"/>
  <c r="F26" i="51"/>
  <c r="F18" i="51"/>
  <c r="G32" i="62"/>
  <c r="G90" i="62"/>
  <c r="D63" i="62"/>
  <c r="D76" i="41"/>
  <c r="D94" i="41" s="1"/>
  <c r="L33" i="51"/>
  <c r="L24" i="62" s="1"/>
  <c r="D93" i="41"/>
  <c r="D4" i="42"/>
  <c r="D14" i="42"/>
  <c r="D6" i="42"/>
  <c r="D31" i="51"/>
  <c r="D22" i="62" s="1"/>
  <c r="D29" i="62" s="1"/>
  <c r="D31" i="62" s="1"/>
  <c r="D25" i="42"/>
  <c r="D23" i="42" s="1"/>
  <c r="D55" i="70"/>
  <c r="D33" i="42"/>
  <c r="D34" i="42" s="1"/>
  <c r="D34" i="40"/>
  <c r="D21" i="51"/>
  <c r="D59" i="51" s="1"/>
  <c r="D58" i="51" s="1"/>
  <c r="L34" i="51"/>
  <c r="L47" i="62"/>
  <c r="L49" i="62" s="1"/>
  <c r="L63" i="62" s="1"/>
  <c r="L13" i="51"/>
  <c r="D55" i="51"/>
  <c r="D10" i="62"/>
  <c r="L18" i="62"/>
  <c r="H30" i="21"/>
  <c r="I30" i="21"/>
  <c r="J30" i="21"/>
  <c r="K30" i="21"/>
  <c r="G30" i="21"/>
  <c r="H25" i="21"/>
  <c r="I25" i="21"/>
  <c r="J25" i="21"/>
  <c r="K25" i="21"/>
  <c r="L25" i="21"/>
  <c r="G25" i="21"/>
  <c r="H23" i="21"/>
  <c r="I23" i="21"/>
  <c r="J23" i="21"/>
  <c r="K23" i="21"/>
  <c r="L23" i="21"/>
  <c r="G23" i="21"/>
  <c r="H22" i="21"/>
  <c r="I22" i="21"/>
  <c r="G22" i="21"/>
  <c r="G21" i="21"/>
  <c r="C29" i="42"/>
  <c r="B19" i="70"/>
  <c r="H31" i="42" l="1"/>
  <c r="F35" i="42"/>
  <c r="H35" i="42" s="1"/>
  <c r="G91" i="62"/>
  <c r="F61" i="51"/>
  <c r="N54" i="51"/>
  <c r="G61" i="51"/>
  <c r="O54" i="51"/>
  <c r="D11" i="42"/>
  <c r="D50" i="40"/>
  <c r="P11" i="51"/>
  <c r="P17" i="51" s="1"/>
  <c r="H7" i="51"/>
  <c r="D7" i="51"/>
  <c r="D8" i="62" s="1"/>
  <c r="D15" i="42"/>
  <c r="H8" i="51"/>
  <c r="D8" i="51"/>
  <c r="D39" i="51"/>
  <c r="D52" i="51" s="1"/>
  <c r="D19" i="42"/>
  <c r="L31" i="51"/>
  <c r="L22" i="62" s="1"/>
  <c r="L29" i="62" s="1"/>
  <c r="L31" i="62" s="1"/>
  <c r="P20" i="51"/>
  <c r="P19" i="51" s="1"/>
  <c r="L20" i="51"/>
  <c r="L19" i="62"/>
  <c r="L20" i="62" s="1"/>
  <c r="L11" i="51"/>
  <c r="L17" i="51" s="1"/>
  <c r="J7" i="21"/>
  <c r="K7" i="21"/>
  <c r="L7" i="21"/>
  <c r="G7" i="21"/>
  <c r="H17" i="51" l="1"/>
  <c r="H18" i="51" s="1"/>
  <c r="L19" i="51"/>
  <c r="L56" i="51" s="1"/>
  <c r="L55" i="51" s="1"/>
  <c r="L27" i="51"/>
  <c r="D19" i="62"/>
  <c r="D16" i="42"/>
  <c r="D9" i="62"/>
  <c r="D18" i="62" s="1"/>
  <c r="D17" i="51"/>
  <c r="D46" i="51"/>
  <c r="D18" i="42"/>
  <c r="L32" i="62"/>
  <c r="L39" i="51"/>
  <c r="L90" i="62"/>
  <c r="L51" i="51"/>
  <c r="J36" i="51"/>
  <c r="K12" i="51"/>
  <c r="J12" i="51"/>
  <c r="J15" i="51"/>
  <c r="J10" i="51"/>
  <c r="K9" i="51"/>
  <c r="J9" i="51"/>
  <c r="K8" i="51"/>
  <c r="J8" i="51"/>
  <c r="K7" i="51"/>
  <c r="J7" i="51"/>
  <c r="L26" i="51" l="1"/>
  <c r="D20" i="62"/>
  <c r="D90" i="62" s="1"/>
  <c r="D91" i="62" s="1"/>
  <c r="D51" i="51"/>
  <c r="D53" i="51" s="1"/>
  <c r="D61" i="51" s="1"/>
  <c r="D26" i="51"/>
  <c r="D18" i="51"/>
  <c r="D31" i="42"/>
  <c r="L46" i="51"/>
  <c r="L40" i="51"/>
  <c r="L52" i="51"/>
  <c r="L53" i="51" s="1"/>
  <c r="L61" i="51" s="1"/>
  <c r="J34" i="51"/>
  <c r="J56" i="62"/>
  <c r="B5" i="42"/>
  <c r="C5" i="49"/>
  <c r="C43" i="70"/>
  <c r="D32" i="62" l="1"/>
  <c r="D35" i="42"/>
  <c r="L54" i="51"/>
  <c r="K36" i="51"/>
  <c r="H11" i="62"/>
  <c r="B31" i="40"/>
  <c r="J13" i="51" s="1"/>
  <c r="C7" i="40"/>
  <c r="C5" i="70"/>
  <c r="C8" i="40"/>
  <c r="C18" i="41"/>
  <c r="C51" i="70"/>
  <c r="C92" i="41"/>
  <c r="C21" i="40"/>
  <c r="C11" i="49"/>
  <c r="C19" i="70" l="1"/>
  <c r="K34" i="51"/>
  <c r="K56" i="62"/>
  <c r="O11" i="21"/>
  <c r="O15" i="21"/>
  <c r="C24" i="42"/>
  <c r="B24" i="42"/>
  <c r="B25" i="42"/>
  <c r="O16" i="21" l="1"/>
  <c r="O19" i="21" s="1"/>
  <c r="C41" i="70"/>
  <c r="C25" i="42"/>
  <c r="P36" i="51"/>
  <c r="C13" i="49"/>
  <c r="C32" i="40" s="1"/>
  <c r="B4" i="49"/>
  <c r="K14" i="51" l="1"/>
  <c r="P56" i="62"/>
  <c r="P34" i="51"/>
  <c r="B34" i="21"/>
  <c r="C8" i="21"/>
  <c r="D8" i="21"/>
  <c r="E8" i="21"/>
  <c r="F8" i="21"/>
  <c r="G8" i="21"/>
  <c r="H8" i="21"/>
  <c r="I8" i="21"/>
  <c r="J8" i="21"/>
  <c r="K8" i="21"/>
  <c r="L8" i="21"/>
  <c r="B8" i="21"/>
  <c r="C26" i="42"/>
  <c r="P44" i="62"/>
  <c r="K43" i="62"/>
  <c r="P43" i="62"/>
  <c r="J43" i="62"/>
  <c r="P14" i="62"/>
  <c r="K14" i="62"/>
  <c r="J14" i="62"/>
  <c r="C25" i="51"/>
  <c r="B25" i="51"/>
  <c r="O32" i="21" l="1"/>
  <c r="B41" i="70"/>
  <c r="B46" i="70" s="1"/>
  <c r="C52" i="70"/>
  <c r="B52" i="70"/>
  <c r="B33" i="42" s="1"/>
  <c r="C33" i="42" l="1"/>
  <c r="B55" i="70"/>
  <c r="B26" i="42"/>
  <c r="C46" i="70" l="1"/>
  <c r="C4" i="49"/>
  <c r="C31" i="40" l="1"/>
  <c r="C55" i="70"/>
  <c r="J44" i="62"/>
  <c r="B13" i="49"/>
  <c r="K13" i="51" l="1"/>
  <c r="B26" i="49"/>
  <c r="B32" i="40"/>
  <c r="E25" i="82"/>
  <c r="E36" i="82"/>
  <c r="J14" i="51" l="1"/>
  <c r="C24" i="51"/>
  <c r="C21" i="51" s="1"/>
  <c r="C59" i="51" s="1"/>
  <c r="H59" i="51"/>
  <c r="B24" i="51"/>
  <c r="B21" i="51" s="1"/>
  <c r="C41" i="41" l="1"/>
  <c r="C20" i="41"/>
  <c r="B6" i="41"/>
  <c r="C5" i="42" l="1"/>
  <c r="E32" i="21"/>
  <c r="F32" i="21"/>
  <c r="G32" i="21"/>
  <c r="H32" i="21"/>
  <c r="I32" i="21"/>
  <c r="J32" i="21"/>
  <c r="K32" i="21"/>
  <c r="L32" i="21"/>
  <c r="M32" i="21"/>
  <c r="C28" i="21"/>
  <c r="D28" i="21"/>
  <c r="E28" i="21"/>
  <c r="F28" i="21"/>
  <c r="G28" i="21"/>
  <c r="H28" i="21"/>
  <c r="I28" i="21"/>
  <c r="J28" i="21"/>
  <c r="K28" i="21"/>
  <c r="L28" i="21"/>
  <c r="M28" i="21"/>
  <c r="B28" i="21"/>
  <c r="N25" i="21"/>
  <c r="N23" i="21"/>
  <c r="N21" i="21"/>
  <c r="N34" i="21"/>
  <c r="C11" i="21"/>
  <c r="E11" i="21"/>
  <c r="G11" i="21"/>
  <c r="I11" i="21"/>
  <c r="N36" i="21"/>
  <c r="D32" i="21"/>
  <c r="C32" i="21"/>
  <c r="B32" i="21"/>
  <c r="N31" i="21"/>
  <c r="N29" i="21"/>
  <c r="N27" i="21"/>
  <c r="N26" i="21"/>
  <c r="N24" i="21"/>
  <c r="N18" i="21"/>
  <c r="N17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N13" i="21"/>
  <c r="N12" i="21"/>
  <c r="H11" i="21"/>
  <c r="H16" i="21" s="1"/>
  <c r="H19" i="21" s="1"/>
  <c r="F11" i="21"/>
  <c r="D11" i="21"/>
  <c r="D16" i="21" s="1"/>
  <c r="D19" i="21" s="1"/>
  <c r="B11" i="21"/>
  <c r="N10" i="21"/>
  <c r="N9" i="21"/>
  <c r="N7" i="21"/>
  <c r="M11" i="21"/>
  <c r="M16" i="21" s="1"/>
  <c r="M19" i="21" s="1"/>
  <c r="L11" i="21"/>
  <c r="L16" i="21" s="1"/>
  <c r="L19" i="21" s="1"/>
  <c r="K11" i="21"/>
  <c r="J11" i="21"/>
  <c r="J16" i="21" s="1"/>
  <c r="J19" i="21" s="1"/>
  <c r="K16" i="62"/>
  <c r="P16" i="62"/>
  <c r="J16" i="62"/>
  <c r="K13" i="62"/>
  <c r="P13" i="62"/>
  <c r="J13" i="62"/>
  <c r="K20" i="51"/>
  <c r="J20" i="51"/>
  <c r="K9" i="62"/>
  <c r="P9" i="62"/>
  <c r="J9" i="62"/>
  <c r="K8" i="62"/>
  <c r="P8" i="62"/>
  <c r="J8" i="62"/>
  <c r="C20" i="51"/>
  <c r="B20" i="51"/>
  <c r="L33" i="21" l="1"/>
  <c r="L35" i="21" s="1"/>
  <c r="B16" i="21"/>
  <c r="B19" i="21" s="1"/>
  <c r="F16" i="21"/>
  <c r="F19" i="21" s="1"/>
  <c r="G16" i="21"/>
  <c r="G19" i="21" s="1"/>
  <c r="C16" i="21"/>
  <c r="C19" i="21" s="1"/>
  <c r="K33" i="21"/>
  <c r="K35" i="21" s="1"/>
  <c r="M33" i="21"/>
  <c r="M35" i="21" s="1"/>
  <c r="N22" i="21"/>
  <c r="I33" i="21"/>
  <c r="I35" i="21" s="1"/>
  <c r="D33" i="21"/>
  <c r="D35" i="21" s="1"/>
  <c r="J33" i="21"/>
  <c r="J35" i="21" s="1"/>
  <c r="G33" i="21"/>
  <c r="G35" i="21" s="1"/>
  <c r="H33" i="21"/>
  <c r="H35" i="21" s="1"/>
  <c r="E33" i="21"/>
  <c r="E35" i="21" s="1"/>
  <c r="C33" i="21"/>
  <c r="C35" i="21" s="1"/>
  <c r="B33" i="21"/>
  <c r="B35" i="21" s="1"/>
  <c r="N8" i="21"/>
  <c r="K16" i="21"/>
  <c r="K19" i="21" s="1"/>
  <c r="E16" i="21"/>
  <c r="E19" i="21" s="1"/>
  <c r="I16" i="21"/>
  <c r="I19" i="21" s="1"/>
  <c r="N15" i="21"/>
  <c r="F33" i="21"/>
  <c r="F35" i="21" s="1"/>
  <c r="N32" i="21"/>
  <c r="N20" i="21"/>
  <c r="N39" i="21" s="1"/>
  <c r="N30" i="21"/>
  <c r="N11" i="21"/>
  <c r="K33" i="51"/>
  <c r="K24" i="62" s="1"/>
  <c r="J33" i="51"/>
  <c r="J24" i="62" s="1"/>
  <c r="K31" i="51"/>
  <c r="K22" i="62" s="1"/>
  <c r="J31" i="51"/>
  <c r="J22" i="62" s="1"/>
  <c r="H31" i="51"/>
  <c r="H22" i="62" s="1"/>
  <c r="B31" i="51"/>
  <c r="B22" i="62" s="1"/>
  <c r="B37" i="21" l="1"/>
  <c r="C6" i="21" s="1"/>
  <c r="N28" i="21"/>
  <c r="N35" i="21"/>
  <c r="N33" i="21"/>
  <c r="N16" i="21"/>
  <c r="N19" i="21" s="1"/>
  <c r="C48" i="40"/>
  <c r="K10" i="51" s="1"/>
  <c r="B48" i="40"/>
  <c r="J11" i="62" s="1"/>
  <c r="C34" i="40"/>
  <c r="B34" i="40"/>
  <c r="J11" i="51" s="1"/>
  <c r="C9" i="40"/>
  <c r="B9" i="40"/>
  <c r="J10" i="62" s="1"/>
  <c r="B33" i="41"/>
  <c r="C33" i="41"/>
  <c r="N37" i="21" l="1"/>
  <c r="K11" i="62"/>
  <c r="K11" i="51"/>
  <c r="K10" i="62"/>
  <c r="C37" i="21"/>
  <c r="D6" i="21" s="1"/>
  <c r="D37" i="21" s="1"/>
  <c r="E6" i="21" s="1"/>
  <c r="B50" i="40"/>
  <c r="B19" i="42" s="1"/>
  <c r="P31" i="51"/>
  <c r="P22" i="62" s="1"/>
  <c r="P15" i="62"/>
  <c r="P33" i="51"/>
  <c r="P24" i="62" s="1"/>
  <c r="C50" i="40"/>
  <c r="E59" i="82"/>
  <c r="E53" i="82"/>
  <c r="E50" i="82"/>
  <c r="E48" i="82"/>
  <c r="E47" i="82"/>
  <c r="E46" i="82"/>
  <c r="E44" i="82"/>
  <c r="E43" i="82"/>
  <c r="E42" i="82"/>
  <c r="E33" i="82"/>
  <c r="E22" i="82"/>
  <c r="E19" i="82"/>
  <c r="E10" i="82"/>
  <c r="E8" i="82"/>
  <c r="E7" i="82" s="1"/>
  <c r="P11" i="62" l="1"/>
  <c r="P10" i="62"/>
  <c r="C19" i="42"/>
  <c r="E37" i="21"/>
  <c r="F6" i="21" s="1"/>
  <c r="E45" i="82"/>
  <c r="E32" i="82" s="1"/>
  <c r="E6" i="82"/>
  <c r="E5" i="82" s="1"/>
  <c r="F37" i="21" l="1"/>
  <c r="G6" i="21" s="1"/>
  <c r="E63" i="82"/>
  <c r="H43" i="51"/>
  <c r="C43" i="51"/>
  <c r="H57" i="51"/>
  <c r="P41" i="51"/>
  <c r="P39" i="51"/>
  <c r="P52" i="51" s="1"/>
  <c r="H56" i="51"/>
  <c r="G37" i="21" l="1"/>
  <c r="H6" i="21" s="1"/>
  <c r="P46" i="51"/>
  <c r="P57" i="51"/>
  <c r="P56" i="51"/>
  <c r="H55" i="51"/>
  <c r="H37" i="21" l="1"/>
  <c r="I6" i="21" s="1"/>
  <c r="P55" i="51"/>
  <c r="I37" i="21" l="1"/>
  <c r="J6" i="21" s="1"/>
  <c r="J37" i="21" l="1"/>
  <c r="K6" i="21" s="1"/>
  <c r="K37" i="21" l="1"/>
  <c r="L6" i="21" s="1"/>
  <c r="L37" i="21" l="1"/>
  <c r="M6" i="21" s="1"/>
  <c r="M37" i="21" s="1"/>
  <c r="P59" i="62"/>
  <c r="K19" i="51" l="1"/>
  <c r="K56" i="51" l="1"/>
  <c r="C60" i="51"/>
  <c r="K41" i="51"/>
  <c r="K57" i="51" s="1"/>
  <c r="C57" i="51"/>
  <c r="C19" i="51"/>
  <c r="C86" i="41"/>
  <c r="C82" i="41"/>
  <c r="C78" i="41"/>
  <c r="C71" i="41"/>
  <c r="C65" i="41"/>
  <c r="C59" i="41"/>
  <c r="C46" i="41"/>
  <c r="C38" i="41"/>
  <c r="C31" i="51"/>
  <c r="C22" i="62" s="1"/>
  <c r="C6" i="41"/>
  <c r="C34" i="42"/>
  <c r="C28" i="42"/>
  <c r="C23" i="42"/>
  <c r="C18" i="42"/>
  <c r="J41" i="51"/>
  <c r="J57" i="51" s="1"/>
  <c r="J39" i="51"/>
  <c r="J52" i="51" s="1"/>
  <c r="J19" i="51"/>
  <c r="J56" i="51" s="1"/>
  <c r="B59" i="51"/>
  <c r="B43" i="51"/>
  <c r="B60" i="51" s="1"/>
  <c r="B41" i="51"/>
  <c r="B57" i="51" s="1"/>
  <c r="B19" i="51"/>
  <c r="B56" i="51" s="1"/>
  <c r="B86" i="41"/>
  <c r="B82" i="41"/>
  <c r="B78" i="41"/>
  <c r="B71" i="41"/>
  <c r="B10" i="42" s="1"/>
  <c r="B33" i="51" s="1"/>
  <c r="B24" i="62" s="1"/>
  <c r="B65" i="41"/>
  <c r="B59" i="41"/>
  <c r="B46" i="41"/>
  <c r="B41" i="41"/>
  <c r="B38" i="41"/>
  <c r="B5" i="41"/>
  <c r="B4" i="42" s="1"/>
  <c r="B34" i="42"/>
  <c r="J19" i="62" s="1"/>
  <c r="B28" i="42"/>
  <c r="J16" i="51" s="1"/>
  <c r="J17" i="51" s="1"/>
  <c r="B23" i="42"/>
  <c r="B18" i="42"/>
  <c r="P62" i="62"/>
  <c r="P47" i="62"/>
  <c r="P49" i="62" s="1"/>
  <c r="P29" i="62"/>
  <c r="P31" i="62" s="1"/>
  <c r="K29" i="62"/>
  <c r="K31" i="62" s="1"/>
  <c r="P89" i="62"/>
  <c r="K89" i="62"/>
  <c r="J89" i="62"/>
  <c r="H86" i="62"/>
  <c r="H89" i="62" s="1"/>
  <c r="C86" i="62"/>
  <c r="C89" i="62" s="1"/>
  <c r="B86" i="62"/>
  <c r="B89" i="62" s="1"/>
  <c r="P78" i="62"/>
  <c r="P80" i="62" s="1"/>
  <c r="K78" i="62"/>
  <c r="K80" i="62" s="1"/>
  <c r="J78" i="62"/>
  <c r="J80" i="62" s="1"/>
  <c r="H78" i="62"/>
  <c r="H80" i="62" s="1"/>
  <c r="C78" i="62"/>
  <c r="C80" i="62" s="1"/>
  <c r="B78" i="62"/>
  <c r="B80" i="62" s="1"/>
  <c r="K59" i="62"/>
  <c r="K62" i="62" s="1"/>
  <c r="J59" i="62"/>
  <c r="J62" i="62" s="1"/>
  <c r="H59" i="62"/>
  <c r="H62" i="62" s="1"/>
  <c r="C59" i="62"/>
  <c r="C62" i="62" s="1"/>
  <c r="B59" i="62"/>
  <c r="B62" i="62" s="1"/>
  <c r="J47" i="62"/>
  <c r="J49" i="62" s="1"/>
  <c r="H47" i="62"/>
  <c r="H49" i="62" s="1"/>
  <c r="C47" i="62"/>
  <c r="C49" i="62" s="1"/>
  <c r="B47" i="62"/>
  <c r="B49" i="62" s="1"/>
  <c r="J29" i="62"/>
  <c r="J31" i="62" s="1"/>
  <c r="Q13" i="51"/>
  <c r="Q11" i="51"/>
  <c r="Q9" i="51"/>
  <c r="K76" i="41"/>
  <c r="B7" i="51" l="1"/>
  <c r="B8" i="62" s="1"/>
  <c r="B8" i="42"/>
  <c r="B32" i="51" s="1"/>
  <c r="B81" i="41"/>
  <c r="B14" i="42" s="1"/>
  <c r="C7" i="42"/>
  <c r="C9" i="51" s="1"/>
  <c r="C10" i="62" s="1"/>
  <c r="C13" i="42"/>
  <c r="B9" i="42"/>
  <c r="B10" i="51" s="1"/>
  <c r="B11" i="62" s="1"/>
  <c r="C8" i="42"/>
  <c r="C32" i="51" s="1"/>
  <c r="C23" i="62" s="1"/>
  <c r="C81" i="41"/>
  <c r="C9" i="42"/>
  <c r="C10" i="51" s="1"/>
  <c r="C11" i="62" s="1"/>
  <c r="B7" i="42"/>
  <c r="B9" i="51" s="1"/>
  <c r="B10" i="62" s="1"/>
  <c r="B13" i="42"/>
  <c r="B15" i="42" s="1"/>
  <c r="B19" i="62" s="1"/>
  <c r="O28" i="21"/>
  <c r="O33" i="21" s="1"/>
  <c r="O35" i="21" s="1"/>
  <c r="K16" i="51"/>
  <c r="K17" i="62" s="1"/>
  <c r="K18" i="62" s="1"/>
  <c r="K19" i="62"/>
  <c r="P19" i="62"/>
  <c r="C93" i="41"/>
  <c r="C33" i="51"/>
  <c r="C24" i="62" s="1"/>
  <c r="H33" i="51"/>
  <c r="H24" i="62" s="1"/>
  <c r="C5" i="41"/>
  <c r="J51" i="51"/>
  <c r="J53" i="51" s="1"/>
  <c r="J17" i="62"/>
  <c r="J18" i="62" s="1"/>
  <c r="J20" i="62" s="1"/>
  <c r="J32" i="62" s="1"/>
  <c r="J55" i="51"/>
  <c r="C37" i="41"/>
  <c r="B55" i="51"/>
  <c r="H60" i="51"/>
  <c r="H58" i="51" s="1"/>
  <c r="K55" i="51"/>
  <c r="B37" i="41"/>
  <c r="B32" i="41" s="1"/>
  <c r="J46" i="51"/>
  <c r="C58" i="51"/>
  <c r="C31" i="42"/>
  <c r="B63" i="62"/>
  <c r="H63" i="62"/>
  <c r="P63" i="62"/>
  <c r="B31" i="42"/>
  <c r="B35" i="42" s="1"/>
  <c r="C63" i="62"/>
  <c r="J63" i="62"/>
  <c r="B58" i="51"/>
  <c r="K39" i="51"/>
  <c r="C56" i="51"/>
  <c r="K17" i="51" l="1"/>
  <c r="K26" i="51" s="1"/>
  <c r="B23" i="62"/>
  <c r="B29" i="62" s="1"/>
  <c r="B31" i="62" s="1"/>
  <c r="B39" i="51"/>
  <c r="B52" i="51" s="1"/>
  <c r="K20" i="62"/>
  <c r="K32" i="62" s="1"/>
  <c r="B6" i="42"/>
  <c r="C4" i="42"/>
  <c r="B93" i="41"/>
  <c r="C14" i="42"/>
  <c r="C15" i="42" s="1"/>
  <c r="C19" i="62" s="1"/>
  <c r="B76" i="41"/>
  <c r="B94" i="41" s="1"/>
  <c r="H19" i="62"/>
  <c r="C35" i="42"/>
  <c r="C29" i="62"/>
  <c r="C31" i="62" s="1"/>
  <c r="C39" i="51"/>
  <c r="C52" i="51" s="1"/>
  <c r="H32" i="51"/>
  <c r="H10" i="62"/>
  <c r="C32" i="41"/>
  <c r="C76" i="41"/>
  <c r="J26" i="51"/>
  <c r="J90" i="62"/>
  <c r="J61" i="51"/>
  <c r="K52" i="51"/>
  <c r="K46" i="51"/>
  <c r="C55" i="51"/>
  <c r="K51" i="51" l="1"/>
  <c r="J40" i="51"/>
  <c r="B46" i="51"/>
  <c r="C7" i="51"/>
  <c r="C8" i="62" s="1"/>
  <c r="C6" i="42"/>
  <c r="C8" i="51" s="1"/>
  <c r="C9" i="62" s="1"/>
  <c r="B8" i="51"/>
  <c r="B11" i="42"/>
  <c r="B16" i="42" s="1"/>
  <c r="C46" i="51"/>
  <c r="H23" i="62"/>
  <c r="H29" i="62" s="1"/>
  <c r="H31" i="62" s="1"/>
  <c r="H39" i="51"/>
  <c r="K40" i="51"/>
  <c r="H9" i="62"/>
  <c r="C94" i="41"/>
  <c r="K53" i="51"/>
  <c r="C18" i="62" l="1"/>
  <c r="C20" i="62" s="1"/>
  <c r="C90" i="62" s="1"/>
  <c r="C17" i="51"/>
  <c r="C18" i="51" s="1"/>
  <c r="C11" i="42"/>
  <c r="C16" i="42" s="1"/>
  <c r="B9" i="62"/>
  <c r="B18" i="62" s="1"/>
  <c r="B20" i="62" s="1"/>
  <c r="B17" i="51"/>
  <c r="P40" i="51"/>
  <c r="H52" i="51"/>
  <c r="H46" i="51"/>
  <c r="C32" i="62"/>
  <c r="C26" i="51"/>
  <c r="K61" i="51"/>
  <c r="C51" i="51" l="1"/>
  <c r="C53" i="51" s="1"/>
  <c r="C61" i="51" s="1"/>
  <c r="B18" i="51"/>
  <c r="B51" i="51"/>
  <c r="B53" i="51" s="1"/>
  <c r="B26" i="51"/>
  <c r="B32" i="62"/>
  <c r="B90" i="62"/>
  <c r="B91" i="62" s="1"/>
  <c r="H8" i="62"/>
  <c r="H18" i="62" s="1"/>
  <c r="H20" i="62" s="1"/>
  <c r="K54" i="51" l="1"/>
  <c r="B61" i="51"/>
  <c r="J54" i="51"/>
  <c r="H26" i="51"/>
  <c r="H51" i="51"/>
  <c r="H53" i="51" s="1"/>
  <c r="H61" i="51" s="1"/>
  <c r="H90" i="62"/>
  <c r="H32" i="62"/>
  <c r="P17" i="62"/>
  <c r="P18" i="62" s="1"/>
  <c r="P20" i="62" s="1"/>
  <c r="P90" i="62" l="1"/>
  <c r="H91" i="62" s="1"/>
  <c r="P32" i="62"/>
  <c r="P51" i="51"/>
  <c r="P53" i="51" s="1"/>
  <c r="P26" i="51"/>
  <c r="P54" i="51" l="1"/>
  <c r="P61" i="51"/>
  <c r="C26" i="49"/>
  <c r="K44" i="62"/>
  <c r="K47" i="62" s="1"/>
  <c r="K49" i="62" s="1"/>
  <c r="K63" i="62" l="1"/>
  <c r="K90" i="62"/>
  <c r="C91" i="62" s="1"/>
</calcChain>
</file>

<file path=xl/sharedStrings.xml><?xml version="1.0" encoding="utf-8"?>
<sst xmlns="http://schemas.openxmlformats.org/spreadsheetml/2006/main" count="683" uniqueCount="425">
  <si>
    <t xml:space="preserve"> 1.5. Helyi önk. Működési célú költségvetési támogatásai és kiegészítő támogatásai</t>
  </si>
  <si>
    <t xml:space="preserve"> 1.6. Elszámolásból származó bevételek</t>
  </si>
  <si>
    <t>1. Települési önkormányzatok működésének támogatása</t>
  </si>
  <si>
    <t>Könyvtári érdekeltségnövelő támogatás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</si>
  <si>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</si>
  <si>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</si>
  <si>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</si>
  <si>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</si>
  <si>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</si>
  <si>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</si>
  <si>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</si>
  <si>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</si>
  <si>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</si>
  <si>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</si>
  <si>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</si>
  <si>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</si>
  <si>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</si>
  <si>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</si>
  <si>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</si>
  <si>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</si>
  <si>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</si>
  <si>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</si>
  <si>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</si>
  <si>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Cél</t>
  </si>
  <si>
    <t>Költségvetési kiadások összesen:</t>
  </si>
  <si>
    <t>Hiteltörlesztés</t>
  </si>
  <si>
    <t>Finanszírozási kiadások összesen:</t>
  </si>
  <si>
    <t>Kiadások összesen:</t>
  </si>
  <si>
    <t>ÖNKORMÁNYZAT</t>
  </si>
  <si>
    <t>1. Önkormányzat működési támogatásai</t>
  </si>
  <si>
    <t xml:space="preserve"> 1.1. Helyi önk. működésének ált. támogatása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</si>
  <si>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</si>
  <si>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</si>
  <si>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</si>
  <si>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</si>
  <si>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</si>
  <si>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</si>
  <si>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</si>
  <si>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  ebből működési célú támogatás társadalombiztosítási alapból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</si>
  <si>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</si>
  <si>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</si>
  <si>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</si>
  <si>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</si>
  <si>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</si>
  <si>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</si>
  <si>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</si>
  <si>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</si>
  <si>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</si>
  <si>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</si>
  <si>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</si>
  <si>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</si>
  <si>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</si>
  <si>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</si>
  <si>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</si>
  <si>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</si>
  <si>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</si>
  <si>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</si>
  <si>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</si>
  <si>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</si>
  <si>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</si>
  <si>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</si>
  <si>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</si>
  <si>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</si>
  <si>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</si>
  <si>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</si>
  <si>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</si>
  <si>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</si>
  <si>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</si>
  <si>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</si>
  <si>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</si>
  <si>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</si>
  <si>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</si>
  <si>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</si>
  <si>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</si>
  <si>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</si>
  <si>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</si>
  <si>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</si>
  <si>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</si>
  <si>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</si>
  <si>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</si>
  <si>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</si>
  <si>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</si>
  <si>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LÉTSZÁM</t>
  </si>
  <si>
    <t>MUTATÓ</t>
  </si>
  <si>
    <t>FAJLAGOS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</si>
  <si>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</si>
  <si>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</si>
  <si>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</si>
  <si>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</si>
  <si>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</si>
  <si>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</si>
  <si>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</si>
  <si>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 xml:space="preserve">Pénzbeli szociális juttatások </t>
  </si>
  <si>
    <t>Egyes szoc.és gyermekjólétii felad.támog.</t>
  </si>
  <si>
    <t xml:space="preserve">     szociális étkeztetés</t>
  </si>
  <si>
    <t xml:space="preserve">  Fogyatékos és demens személyek nappali intézményi ellátása</t>
  </si>
  <si>
    <t xml:space="preserve">     foglalkoztatási támog-ban részesülő fogyatékos nappali intézményben ellátottak</t>
  </si>
  <si>
    <t xml:space="preserve">  Gyermekek napközbeni ellátása</t>
  </si>
  <si>
    <t xml:space="preserve">    bölcsödei ellátás</t>
  </si>
  <si>
    <t xml:space="preserve">    bölcsödei ellátás hátrányos helyzetű gyermek</t>
  </si>
  <si>
    <t>Gyermekétkeztetés támogatása</t>
  </si>
  <si>
    <t xml:space="preserve">   Finanszírozás szempontjábol elismert dolgozók bértámogatása</t>
  </si>
  <si>
    <t xml:space="preserve">  Gyermekétkeztetés üzemeltetési  támogatása</t>
  </si>
  <si>
    <t>Kulturális feladatok támogatása</t>
  </si>
  <si>
    <t>Nyilvános könyvtári és közművelődési feladatok támogatása</t>
  </si>
  <si>
    <t>Lakott külterületekkel kapcsolatos feladatok támogatása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</si>
  <si>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</si>
  <si>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</si>
  <si>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</si>
  <si>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</si>
  <si>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</si>
  <si>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</si>
  <si>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</si>
  <si>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</si>
  <si>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</si>
  <si>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Rendkívüli gyermekvédelmi támogatás</t>
  </si>
  <si>
    <t>Temetési segély</t>
  </si>
  <si>
    <t>Köztemetés</t>
  </si>
  <si>
    <t>Forgatási célú értékpapír vásárlás</t>
  </si>
  <si>
    <r>
      <t xml:space="preserve">    </t>
    </r>
    <r>
      <rPr>
        <sz val="10"/>
        <rFont val="Arial"/>
        <family val="2"/>
        <charset val="238"/>
      </rPr>
      <t>1.1. Előző év költségvetési maradványának  igénybevétele működési célra</t>
    </r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</si>
  <si>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</si>
  <si>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</si>
  <si>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</si>
  <si>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</si>
  <si>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</si>
  <si>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</si>
  <si>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</si>
  <si>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</si>
  <si>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</si>
  <si>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</si>
  <si>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>2. Munkaadót terhelő járulékok és szoc.hj. Adó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</si>
  <si>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</si>
  <si>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</si>
  <si>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</si>
  <si>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</si>
  <si>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</si>
  <si>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</si>
  <si>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</si>
  <si>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</si>
  <si>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</si>
  <si>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</si>
  <si>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</si>
  <si>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</si>
  <si>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</si>
  <si>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</si>
  <si>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</si>
  <si>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</si>
  <si>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</si>
  <si>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</si>
  <si>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</si>
  <si>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</si>
  <si>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</si>
  <si>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</si>
  <si>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</si>
  <si>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</si>
  <si>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</si>
  <si>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</si>
  <si>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</si>
  <si>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</si>
  <si>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</si>
  <si>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</si>
  <si>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>ELŐIRÁNYZAT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</si>
  <si>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</si>
  <si>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</si>
  <si>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</si>
  <si>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</si>
  <si>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</si>
  <si>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</si>
  <si>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</si>
  <si>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</si>
  <si>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</si>
  <si>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</si>
  <si>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</si>
  <si>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</si>
  <si>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</si>
  <si>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</si>
  <si>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</si>
  <si>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</si>
  <si>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</si>
  <si>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</si>
  <si>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</si>
  <si>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</si>
  <si>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</si>
  <si>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</si>
  <si>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</si>
  <si>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</si>
  <si>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</si>
  <si>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</si>
  <si>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</si>
  <si>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</si>
  <si>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</si>
  <si>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</si>
  <si>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</si>
  <si>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</si>
  <si>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</si>
  <si>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</si>
  <si>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</si>
  <si>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</si>
  <si>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</si>
  <si>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</si>
  <si>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</si>
  <si>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</si>
  <si>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</si>
  <si>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</si>
  <si>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</si>
  <si>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</si>
  <si>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</si>
  <si>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</si>
  <si>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</si>
  <si>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</si>
  <si>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</si>
  <si>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</si>
  <si>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</si>
  <si>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</si>
  <si>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</si>
  <si>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</si>
  <si>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</si>
  <si>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</si>
  <si>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</si>
  <si>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</si>
  <si>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</si>
  <si>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</si>
  <si>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</si>
  <si>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</si>
  <si>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</si>
  <si>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</si>
  <si>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</si>
  <si>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</si>
  <si>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</si>
  <si>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</si>
  <si>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</si>
  <si>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</si>
  <si>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</si>
  <si>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</si>
  <si>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</si>
  <si>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</si>
  <si>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</si>
  <si>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</si>
  <si>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</si>
  <si>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</si>
  <si>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</si>
  <si>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</si>
  <si>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</si>
  <si>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</si>
  <si>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</si>
  <si>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Települési önkormányzatok szociális feladatainak egyéb támogatása</t>
  </si>
  <si>
    <t>Pénzbeli szociális ellátások kiegészítése</t>
  </si>
  <si>
    <t>Méltányos ápolási díj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</si>
  <si>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</si>
  <si>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</si>
  <si>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</si>
  <si>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 xml:space="preserve">     fogyatékos személyek nappali intézményi ellátása társulás általi feladatellátás</t>
  </si>
  <si>
    <t>demens személyek nappali intézményi ellátása - társulás által történő feladatellátás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</si>
  <si>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</si>
  <si>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</si>
  <si>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</si>
  <si>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</si>
  <si>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</si>
  <si>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</si>
  <si>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</si>
  <si>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</si>
  <si>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</si>
  <si>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</si>
  <si>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</si>
  <si>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</si>
  <si>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</si>
  <si>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</si>
  <si>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</si>
  <si>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</si>
  <si>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</si>
  <si>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</si>
  <si>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</si>
  <si>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</si>
  <si>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</si>
  <si>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 xml:space="preserve">     család- és gyermekjóléti szolgálat</t>
  </si>
  <si>
    <t xml:space="preserve">     család- és gyermekjóléti központ</t>
  </si>
  <si>
    <t xml:space="preserve">     házi segítségnyújtás - társulás által történő feladatellátás</t>
  </si>
  <si>
    <t xml:space="preserve">     időskorúak nappali intézényi ellátása - társulás által történő feladatellátás</t>
  </si>
  <si>
    <t xml:space="preserve">  A rászoruló gyermekek intézményen kívüli szünidei étkeztetésének támogatása</t>
  </si>
  <si>
    <t xml:space="preserve"> Az Önkormányzat  működési bevételei és kiadásai  2016. év</t>
  </si>
  <si>
    <t>Bevétele és kiadások mérlege 2016. év</t>
  </si>
  <si>
    <t xml:space="preserve"> Az Önkormányzat felhalmozási bevételei és kiadásai  2016. év</t>
  </si>
  <si>
    <t xml:space="preserve"> Az Önkormányzat  kötelező feladatok bevételei és kiadásai  2016. év</t>
  </si>
  <si>
    <t xml:space="preserve"> Az Önkormányzat önként vállalt feladatok bevételei és kiadásai  2016. év</t>
  </si>
  <si>
    <t xml:space="preserve"> Az Önkormányzat állami (államigazgatási) feladatok bevételei és kiadásai  2016. év</t>
  </si>
  <si>
    <t>2015. évről áthúzódó bérkompenzáció támogatása</t>
  </si>
  <si>
    <t xml:space="preserve">    kiegészítő támogatás a bölcsődében foglalkoztatott felsőfokú végzettségű kisgyermeknevelők béréhez</t>
  </si>
  <si>
    <t>Beruházás</t>
  </si>
  <si>
    <t>1.3. Magánszemélyek kommunális adója</t>
  </si>
  <si>
    <t>2. Működési célú támogatások államháztartáson kívülre</t>
  </si>
  <si>
    <t>Önkormányzat költségvetése</t>
  </si>
  <si>
    <t>I. Személyi juttatás</t>
  </si>
  <si>
    <t>II. Munkaadót terhelő járulékok</t>
  </si>
  <si>
    <t>III. Dologi kiadások</t>
  </si>
  <si>
    <t>Ebből</t>
  </si>
  <si>
    <t>IV. Egyéb működési célú kiadások  (4 tábla)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</si>
  <si>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</si>
  <si>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</si>
  <si>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</si>
  <si>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</si>
  <si>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 xml:space="preserve">Átmeneti segély </t>
  </si>
  <si>
    <t>Közlekedési támogatás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</si>
  <si>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</si>
  <si>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</si>
  <si>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</si>
  <si>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</si>
  <si>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</si>
  <si>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</si>
  <si>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</si>
  <si>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</si>
  <si>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</si>
  <si>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</si>
  <si>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</si>
  <si>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</si>
  <si>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</si>
  <si>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</si>
  <si>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</si>
  <si>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</si>
  <si>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</si>
  <si>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</si>
  <si>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</si>
  <si>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önkormányzati támogatás (tüzifa támogatás)</t>
  </si>
  <si>
    <t>Orvosi rendelő felújítása</t>
  </si>
  <si>
    <t>Szeptem-ber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</si>
  <si>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</si>
  <si>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</si>
  <si>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</si>
  <si>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</si>
  <si>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</si>
  <si>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</si>
  <si>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</si>
  <si>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</si>
  <si>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</si>
  <si>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</si>
  <si>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</si>
  <si>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</si>
  <si>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</si>
  <si>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</si>
  <si>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</si>
  <si>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</si>
  <si>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1.7. Gyermekétkeztetés</t>
  </si>
  <si>
    <t>Születési segély</t>
  </si>
  <si>
    <t>8. Állami támogatás megelőlegezés</t>
  </si>
  <si>
    <t>Falugondnoki szolgáltatás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</si>
  <si>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</si>
  <si>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</si>
  <si>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</si>
  <si>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</si>
  <si>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</si>
  <si>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</si>
  <si>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</si>
  <si>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</si>
  <si>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</si>
  <si>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</si>
  <si>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</si>
  <si>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</si>
  <si>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</si>
  <si>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</si>
  <si>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</si>
  <si>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</si>
  <si>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Közoös Hivatal (rendszeres gyermekvédelmi)</t>
  </si>
  <si>
    <t>Gyermekjóléti szolgálat</t>
  </si>
  <si>
    <t>Rendelőintézet (Ügyeleti díj)</t>
  </si>
  <si>
    <t>Balatonfüredi Többcélú Társulás (Jelzőrendszeres házi segítségnyújtás, Házi segítségnyújtás)</t>
  </si>
  <si>
    <t>Működési célú támogatás államháztartáson kívülre</t>
  </si>
  <si>
    <t>Egyesületek alapítványok támogatása</t>
  </si>
  <si>
    <t>Pécselyi Református Egyházközség</t>
  </si>
  <si>
    <t>Pécselyi Katolikus Egyház</t>
  </si>
  <si>
    <t>Pécselyi Ált.Isk. és Óvoda Gyermekeiért Alapítvány</t>
  </si>
  <si>
    <t xml:space="preserve">Pécselyi Sportegyesület </t>
  </si>
  <si>
    <t>Balaton-felvidéki Turisztikai Közhasznú Egyesület</t>
  </si>
  <si>
    <t>Balatonfüredi Református Iskola</t>
  </si>
  <si>
    <t>Bakonykarszt pályázati támogatás (lakossági víz és szennyv.sz.)</t>
  </si>
  <si>
    <t>Balatonfüredi Önkéntes Tűzoltóság</t>
  </si>
  <si>
    <t xml:space="preserve">Tihany Iskoláért alapítvány </t>
  </si>
  <si>
    <t>I. Beruházások</t>
  </si>
  <si>
    <t>Gép beszerzés</t>
  </si>
  <si>
    <t>I. Beruházások összesen:</t>
  </si>
  <si>
    <t>II. Felújítások</t>
  </si>
  <si>
    <t>belső munkák - Vászolyi-Ács Kft. (82/2015.(08.03.)hat.)</t>
  </si>
  <si>
    <t>Külterületi utak felújítása</t>
  </si>
  <si>
    <t>Rendezési terv módosítása</t>
  </si>
  <si>
    <t>II. Felújítások összesen:</t>
  </si>
  <si>
    <t>III. Egyéb felhalmozási kiadások:</t>
  </si>
  <si>
    <t>Kultúrház - villámhárító</t>
  </si>
  <si>
    <t>Hivatal felújítása</t>
  </si>
  <si>
    <t>Ingatlanok beszerzése (2db buszváró)</t>
  </si>
  <si>
    <t>Lombfúvó beszerzése</t>
  </si>
  <si>
    <t>Kultúrház felújítás</t>
  </si>
  <si>
    <t>9. Lekötött betét bevonása</t>
  </si>
  <si>
    <t>Közvilágítás bővítése</t>
  </si>
  <si>
    <t>2016. évi eredeti ei.</t>
  </si>
  <si>
    <t>2016. I. módosítás</t>
  </si>
  <si>
    <t>Eltérés</t>
  </si>
  <si>
    <t>MATADOR nyári gumi (4 db) beszerzése</t>
  </si>
  <si>
    <t>CD-lejátszós MP3 + tartozékai beszerzése</t>
  </si>
  <si>
    <t>Fűnyíró beszerzése</t>
  </si>
  <si>
    <t>Irodaszékek vásárlása a hivatalba</t>
  </si>
  <si>
    <t>Hulladékgyűjtők vásárlása</t>
  </si>
  <si>
    <t>Korlát beszerzése (iskola)</t>
  </si>
  <si>
    <t>Buszvárók felújításának tervdokumentum elkészítése (74/2016.(05.30.) hat.)</t>
  </si>
  <si>
    <t>Mozgáskorlátozott feljáró terv (orvosi rendelő felújítása)</t>
  </si>
  <si>
    <t>"Pécselyért érdemrend" emléktáblák beszerzése (62/2016. (04.26.) hat.)</t>
  </si>
  <si>
    <t>Egyéb felhalm.tám. ÁHB (óvoda fenntartás tám.)</t>
  </si>
  <si>
    <t>április: +25000</t>
  </si>
  <si>
    <t>Tűzoltó-készülék beszerzése orvosi rendelőbe</t>
  </si>
  <si>
    <t>Kisértékű eszköz beszerzése</t>
  </si>
  <si>
    <t>Balatonfüredi Többcélú Társulás (Belső ellenőrzés, család-és gyermekjóléti szolg.)</t>
  </si>
  <si>
    <t>Óvoda felújítás pályázatának elkészítési díja</t>
  </si>
  <si>
    <t>2016. II. módosítás</t>
  </si>
  <si>
    <t>1.3. Belterületi utak felújítása támogatás</t>
  </si>
  <si>
    <t>Belterületi utak felújítása pályázathoz önerő (75/2016. (05.30.) hat.)</t>
  </si>
  <si>
    <t>Belterületi utak felújítása pályázat</t>
  </si>
  <si>
    <t>Orvosi rendelő és lakás radiátorok lecserélése</t>
  </si>
  <si>
    <t>3.1. KKETTKK vissza nem térítendő támogatás</t>
  </si>
  <si>
    <t>I. Világháborús emlékművek helyreállítása</t>
  </si>
  <si>
    <t>2016. III. módosítás</t>
  </si>
  <si>
    <r>
      <t>BEVÉTELEK ÉS KIADÁSOK ELŐIRÁNYZATÁNAK HAVI ÜTEMEZÉSE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2016.  </t>
    </r>
  </si>
  <si>
    <t>Bérelt önkormányzati lakáson felújítás (ablakcsere)</t>
  </si>
  <si>
    <t>iskolán viharkár miatti felújítás</t>
  </si>
  <si>
    <t>2016. IV. módosítás</t>
  </si>
  <si>
    <t>Egyéb önkormányzati támogatás</t>
  </si>
  <si>
    <t>adósságkonszolidáció - utak felújítása</t>
  </si>
  <si>
    <t>1.4. Adósságkonszolidációs tám.</t>
  </si>
  <si>
    <t>2016. V.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</si>
</sst>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mmm\ d/"/>
    <numFmt numFmtId="165" formatCode="#,##0.0000"/>
    <numFmt numFmtId="166" formatCode="#,##0.0"/>
    <numFmt numFmtId="167" formatCode="#,##0;[Red]#,##0"/>
  </numFmts>
  <fonts count="4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sz val="11"/>
      <name val="Arial CE"/>
      <charset val="238"/>
    </font>
    <font>
      <b/>
      <sz val="11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8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0" fillId="0" borderId="6" applyNumberFormat="0" applyFill="0" applyAlignment="0" applyProtection="0"/>
    <xf numFmtId="0" fontId="28" fillId="26" borderId="7" applyNumberFormat="0" applyFont="0" applyAlignment="0" applyProtection="0"/>
    <xf numFmtId="0" fontId="12" fillId="27" borderId="8" applyNumberFormat="0" applyAlignment="0" applyProtection="0"/>
    <xf numFmtId="0" fontId="16" fillId="28" borderId="0" applyNumberFormat="0" applyBorder="0" applyAlignment="0" applyProtection="0"/>
    <xf numFmtId="0" fontId="28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7" borderId="1" applyNumberFormat="0" applyAlignment="0" applyProtection="0"/>
    <xf numFmtId="0" fontId="10" fillId="0" borderId="6" applyNumberFormat="0" applyFill="0" applyAlignment="0" applyProtection="0"/>
    <xf numFmtId="0" fontId="14" fillId="0" borderId="0"/>
    <xf numFmtId="0" fontId="14" fillId="0" borderId="0"/>
    <xf numFmtId="0" fontId="28" fillId="26" borderId="7" applyNumberFormat="0" applyFont="0" applyAlignment="0" applyProtection="0"/>
    <xf numFmtId="0" fontId="12" fillId="27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43" fontId="36" fillId="0" borderId="0" applyFill="0" applyBorder="0" applyAlignment="0" applyProtection="0"/>
    <xf numFmtId="0" fontId="14" fillId="0" borderId="0"/>
    <xf numFmtId="0" fontId="28" fillId="0" borderId="0"/>
    <xf numFmtId="0" fontId="37" fillId="0" borderId="0"/>
  </cellStyleXfs>
  <cellXfs count="508">
    <xf numFmtId="0" fontId="0" fillId="0" borderId="0" xfId="0"/>
    <xf numFmtId="0" fontId="21" fillId="0" borderId="0" xfId="44" applyFont="1"/>
    <xf numFmtId="0" fontId="21" fillId="0" borderId="0" xfId="45" applyFont="1"/>
    <xf numFmtId="0" fontId="23" fillId="0" borderId="0" xfId="50" applyFont="1" applyFill="1" applyAlignment="1">
      <alignment horizontal="center" vertical="center" wrapText="1"/>
    </xf>
    <xf numFmtId="3" fontId="23" fillId="0" borderId="0" xfId="50" applyNumberFormat="1" applyFont="1" applyFill="1" applyAlignment="1">
      <alignment horizontal="center" vertical="center" wrapText="1"/>
    </xf>
    <xf numFmtId="0" fontId="19" fillId="0" borderId="0" xfId="44" applyFont="1"/>
    <xf numFmtId="0" fontId="19" fillId="0" borderId="10" xfId="45" applyFont="1" applyBorder="1" applyAlignment="1">
      <alignment wrapText="1"/>
    </xf>
    <xf numFmtId="0" fontId="19" fillId="29" borderId="10" xfId="52" applyFont="1" applyFill="1" applyBorder="1" applyAlignment="1">
      <alignment wrapText="1"/>
    </xf>
    <xf numFmtId="0" fontId="24" fillId="0" borderId="0" xfId="45" applyFont="1" applyFill="1" applyBorder="1"/>
    <xf numFmtId="0" fontId="24" fillId="0" borderId="0" xfId="45" applyFont="1"/>
    <xf numFmtId="0" fontId="20" fillId="0" borderId="14" xfId="45" applyFont="1" applyBorder="1"/>
    <xf numFmtId="0" fontId="20" fillId="0" borderId="16" xfId="45" applyFont="1" applyBorder="1"/>
    <xf numFmtId="0" fontId="20" fillId="0" borderId="17" xfId="45" applyFont="1" applyBorder="1" applyAlignment="1">
      <alignment wrapText="1"/>
    </xf>
    <xf numFmtId="0" fontId="19" fillId="0" borderId="17" xfId="45" applyFont="1" applyBorder="1" applyAlignment="1">
      <alignment wrapText="1"/>
    </xf>
    <xf numFmtId="0" fontId="21" fillId="0" borderId="0" xfId="45" applyFont="1" applyBorder="1" applyAlignment="1">
      <alignment wrapText="1"/>
    </xf>
    <xf numFmtId="0" fontId="21" fillId="0" borderId="0" xfId="45" applyFont="1" applyBorder="1"/>
    <xf numFmtId="0" fontId="19" fillId="0" borderId="19" xfId="45" applyFont="1" applyBorder="1" applyAlignment="1">
      <alignment wrapText="1"/>
    </xf>
    <xf numFmtId="0" fontId="20" fillId="0" borderId="20" xfId="45" applyFont="1" applyBorder="1" applyAlignment="1">
      <alignment wrapText="1"/>
    </xf>
    <xf numFmtId="0" fontId="20" fillId="0" borderId="14" xfId="49" applyFont="1" applyBorder="1" applyAlignment="1">
      <alignment wrapText="1"/>
    </xf>
    <xf numFmtId="0" fontId="20" fillId="0" borderId="21" xfId="49" applyFont="1" applyBorder="1" applyAlignment="1">
      <alignment wrapText="1"/>
    </xf>
    <xf numFmtId="0" fontId="20" fillId="0" borderId="11" xfId="49" applyFont="1" applyBorder="1" applyAlignment="1">
      <alignment wrapText="1"/>
    </xf>
    <xf numFmtId="0" fontId="19" fillId="0" borderId="14" xfId="52" applyFont="1" applyBorder="1" applyAlignment="1">
      <alignment horizontal="left" wrapText="1"/>
    </xf>
    <xf numFmtId="3" fontId="19" fillId="0" borderId="10" xfId="49" applyNumberFormat="1" applyFont="1" applyBorder="1"/>
    <xf numFmtId="0" fontId="19" fillId="0" borderId="22" xfId="47" applyFont="1" applyBorder="1" applyAlignment="1">
      <alignment wrapText="1"/>
    </xf>
    <xf numFmtId="0" fontId="19" fillId="0" borderId="14" xfId="47" applyFont="1" applyBorder="1" applyAlignment="1">
      <alignment wrapText="1"/>
    </xf>
    <xf numFmtId="0" fontId="19" fillId="0" borderId="21" xfId="47" applyFont="1" applyBorder="1" applyAlignment="1">
      <alignment wrapText="1"/>
    </xf>
    <xf numFmtId="0" fontId="19" fillId="0" borderId="16" xfId="47" applyFont="1" applyBorder="1" applyAlignment="1">
      <alignment wrapText="1"/>
    </xf>
    <xf numFmtId="0" fontId="19" fillId="29" borderId="14" xfId="52" applyFont="1" applyFill="1" applyBorder="1" applyAlignment="1">
      <alignment wrapText="1"/>
    </xf>
    <xf numFmtId="3" fontId="20" fillId="0" borderId="10" xfId="49" applyNumberFormat="1" applyFont="1" applyBorder="1"/>
    <xf numFmtId="0" fontId="21" fillId="0" borderId="0" xfId="49" applyFont="1"/>
    <xf numFmtId="0" fontId="19" fillId="0" borderId="14" xfId="49" applyFont="1" applyBorder="1" applyAlignment="1">
      <alignment wrapText="1"/>
    </xf>
    <xf numFmtId="0" fontId="19" fillId="0" borderId="21" xfId="49" applyFont="1" applyBorder="1" applyAlignment="1">
      <alignment wrapText="1"/>
    </xf>
    <xf numFmtId="0" fontId="20" fillId="0" borderId="16" xfId="49" applyFont="1" applyBorder="1" applyAlignment="1">
      <alignment wrapText="1"/>
    </xf>
    <xf numFmtId="0" fontId="20" fillId="0" borderId="0" xfId="49" applyFont="1" applyBorder="1"/>
    <xf numFmtId="0" fontId="20" fillId="0" borderId="22" xfId="49" applyFont="1" applyBorder="1"/>
    <xf numFmtId="0" fontId="19" fillId="0" borderId="21" xfId="47" applyFont="1" applyFill="1" applyBorder="1" applyAlignment="1">
      <alignment wrapText="1"/>
    </xf>
    <xf numFmtId="0" fontId="19" fillId="0" borderId="16" xfId="49" applyFont="1" applyBorder="1" applyAlignment="1">
      <alignment wrapText="1"/>
    </xf>
    <xf numFmtId="0" fontId="20" fillId="0" borderId="22" xfId="49" applyFont="1" applyBorder="1" applyAlignment="1">
      <alignment wrapText="1"/>
    </xf>
    <xf numFmtId="0" fontId="20" fillId="0" borderId="10" xfId="49" applyFont="1" applyBorder="1" applyAlignment="1">
      <alignment wrapText="1"/>
    </xf>
    <xf numFmtId="0" fontId="20" fillId="0" borderId="17" xfId="49" applyFont="1" applyBorder="1" applyAlignment="1">
      <alignment wrapText="1"/>
    </xf>
    <xf numFmtId="3" fontId="19" fillId="0" borderId="10" xfId="49" applyNumberFormat="1" applyFont="1" applyBorder="1" applyAlignment="1">
      <alignment wrapText="1"/>
    </xf>
    <xf numFmtId="0" fontId="20" fillId="0" borderId="21" xfId="49" applyFont="1" applyBorder="1"/>
    <xf numFmtId="0" fontId="19" fillId="0" borderId="10" xfId="47" applyFont="1" applyBorder="1" applyAlignment="1">
      <alignment wrapText="1"/>
    </xf>
    <xf numFmtId="0" fontId="19" fillId="0" borderId="12" xfId="49" applyFont="1" applyBorder="1" applyAlignment="1">
      <alignment wrapText="1"/>
    </xf>
    <xf numFmtId="0" fontId="19" fillId="0" borderId="10" xfId="49" applyFont="1" applyBorder="1" applyAlignment="1">
      <alignment wrapText="1"/>
    </xf>
    <xf numFmtId="0" fontId="20" fillId="0" borderId="12" xfId="49" applyFont="1" applyBorder="1" applyAlignment="1">
      <alignment wrapText="1"/>
    </xf>
    <xf numFmtId="0" fontId="21" fillId="0" borderId="0" xfId="49" applyFont="1" applyBorder="1" applyAlignment="1">
      <alignment wrapText="1"/>
    </xf>
    <xf numFmtId="0" fontId="21" fillId="0" borderId="0" xfId="49" applyFont="1" applyBorder="1"/>
    <xf numFmtId="0" fontId="20" fillId="0" borderId="15" xfId="49" applyFont="1" applyBorder="1" applyAlignment="1">
      <alignment wrapText="1"/>
    </xf>
    <xf numFmtId="0" fontId="19" fillId="0" borderId="10" xfId="52" applyFont="1" applyBorder="1" applyAlignment="1">
      <alignment horizontal="left" wrapText="1"/>
    </xf>
    <xf numFmtId="0" fontId="19" fillId="0" borderId="12" xfId="47" applyFont="1" applyBorder="1" applyAlignment="1">
      <alignment wrapText="1"/>
    </xf>
    <xf numFmtId="0" fontId="19" fillId="0" borderId="15" xfId="47" applyFont="1" applyBorder="1" applyAlignment="1">
      <alignment wrapText="1"/>
    </xf>
    <xf numFmtId="3" fontId="20" fillId="0" borderId="10" xfId="49" applyNumberFormat="1" applyFont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right"/>
    </xf>
    <xf numFmtId="0" fontId="28" fillId="0" borderId="0" xfId="45" applyFont="1"/>
    <xf numFmtId="0" fontId="19" fillId="0" borderId="23" xfId="45" applyFont="1" applyBorder="1"/>
    <xf numFmtId="0" fontId="20" fillId="0" borderId="23" xfId="45" applyFont="1" applyBorder="1"/>
    <xf numFmtId="0" fontId="28" fillId="0" borderId="0" xfId="44" applyFont="1"/>
    <xf numFmtId="3" fontId="20" fillId="0" borderId="14" xfId="49" applyNumberFormat="1" applyFont="1" applyBorder="1"/>
    <xf numFmtId="0" fontId="23" fillId="0" borderId="0" xfId="52" applyFont="1" applyAlignment="1">
      <alignment horizontal="center" wrapText="1"/>
    </xf>
    <xf numFmtId="0" fontId="28" fillId="0" borderId="0" xfId="52" applyFont="1"/>
    <xf numFmtId="0" fontId="28" fillId="0" borderId="0" xfId="52" applyFont="1" applyAlignment="1">
      <alignment horizontal="center" vertical="center"/>
    </xf>
    <xf numFmtId="3" fontId="24" fillId="0" borderId="10" xfId="52" applyNumberFormat="1" applyFont="1" applyBorder="1"/>
    <xf numFmtId="0" fontId="21" fillId="0" borderId="0" xfId="52" applyFont="1" applyBorder="1"/>
    <xf numFmtId="0" fontId="21" fillId="0" borderId="0" xfId="52" applyFont="1"/>
    <xf numFmtId="0" fontId="21" fillId="29" borderId="0" xfId="52" applyFont="1" applyFill="1" applyBorder="1"/>
    <xf numFmtId="0" fontId="21" fillId="29" borderId="0" xfId="52" applyFont="1" applyFill="1"/>
    <xf numFmtId="0" fontId="28" fillId="0" borderId="0" xfId="52" applyFont="1" applyBorder="1"/>
    <xf numFmtId="0" fontId="28" fillId="0" borderId="10" xfId="52" applyFont="1" applyBorder="1" applyAlignment="1">
      <alignment wrapText="1"/>
    </xf>
    <xf numFmtId="0" fontId="28" fillId="0" borderId="0" xfId="52" applyFont="1" applyAlignment="1">
      <alignment wrapText="1"/>
    </xf>
    <xf numFmtId="0" fontId="29" fillId="0" borderId="0" xfId="52" applyFont="1" applyBorder="1"/>
    <xf numFmtId="0" fontId="29" fillId="29" borderId="0" xfId="52" applyFont="1" applyFill="1" applyBorder="1"/>
    <xf numFmtId="0" fontId="30" fillId="29" borderId="0" xfId="52" applyFont="1" applyFill="1" applyBorder="1"/>
    <xf numFmtId="3" fontId="31" fillId="29" borderId="0" xfId="52" applyNumberFormat="1" applyFont="1" applyFill="1" applyBorder="1"/>
    <xf numFmtId="0" fontId="31" fillId="29" borderId="0" xfId="52" applyFont="1" applyFill="1" applyBorder="1"/>
    <xf numFmtId="0" fontId="32" fillId="29" borderId="0" xfId="52" applyFont="1" applyFill="1" applyBorder="1"/>
    <xf numFmtId="3" fontId="30" fillId="29" borderId="0" xfId="52" applyNumberFormat="1" applyFont="1" applyFill="1" applyBorder="1"/>
    <xf numFmtId="3" fontId="30" fillId="29" borderId="0" xfId="52" applyNumberFormat="1" applyFont="1" applyFill="1" applyBorder="1" applyAlignment="1">
      <alignment vertical="center"/>
    </xf>
    <xf numFmtId="0" fontId="30" fillId="29" borderId="0" xfId="52" applyFont="1" applyFill="1" applyBorder="1" applyAlignment="1">
      <alignment vertical="center"/>
    </xf>
    <xf numFmtId="0" fontId="29" fillId="29" borderId="0" xfId="52" applyFont="1" applyFill="1" applyBorder="1" applyAlignment="1">
      <alignment vertical="center" wrapText="1"/>
    </xf>
    <xf numFmtId="0" fontId="29" fillId="29" borderId="0" xfId="52" applyFont="1" applyFill="1" applyBorder="1" applyAlignment="1">
      <alignment vertical="center"/>
    </xf>
    <xf numFmtId="3" fontId="29" fillId="29" borderId="0" xfId="52" applyNumberFormat="1" applyFont="1" applyFill="1" applyBorder="1" applyAlignment="1">
      <alignment vertical="center"/>
    </xf>
    <xf numFmtId="3" fontId="30" fillId="29" borderId="0" xfId="52" applyNumberFormat="1" applyFont="1" applyFill="1" applyBorder="1" applyAlignment="1">
      <alignment horizontal="right" wrapText="1"/>
    </xf>
    <xf numFmtId="3" fontId="29" fillId="0" borderId="0" xfId="52" applyNumberFormat="1" applyFont="1" applyBorder="1"/>
    <xf numFmtId="3" fontId="21" fillId="0" borderId="0" xfId="52" applyNumberFormat="1" applyFont="1"/>
    <xf numFmtId="0" fontId="28" fillId="0" borderId="0" xfId="45" applyFont="1" applyAlignment="1">
      <alignment horizontal="right"/>
    </xf>
    <xf numFmtId="0" fontId="28" fillId="0" borderId="0" xfId="50" applyFont="1" applyFill="1"/>
    <xf numFmtId="0" fontId="28" fillId="0" borderId="11" xfId="50" applyFont="1" applyFill="1" applyBorder="1" applyAlignment="1">
      <alignment wrapText="1"/>
    </xf>
    <xf numFmtId="0" fontId="28" fillId="0" borderId="0" xfId="50" applyFont="1" applyFill="1" applyAlignment="1">
      <alignment wrapText="1"/>
    </xf>
    <xf numFmtId="0" fontId="28" fillId="0" borderId="0" xfId="45" applyFont="1" applyAlignment="1">
      <alignment wrapText="1"/>
    </xf>
    <xf numFmtId="0" fontId="28" fillId="0" borderId="0" xfId="45" applyFont="1" applyAlignment="1">
      <alignment horizontal="right" wrapText="1"/>
    </xf>
    <xf numFmtId="0" fontId="28" fillId="0" borderId="0" xfId="49" applyFont="1" applyAlignment="1">
      <alignment wrapText="1"/>
    </xf>
    <xf numFmtId="0" fontId="28" fillId="0" borderId="0" xfId="49" applyFont="1"/>
    <xf numFmtId="0" fontId="28" fillId="0" borderId="0" xfId="49" applyFont="1" applyAlignment="1">
      <alignment horizontal="right"/>
    </xf>
    <xf numFmtId="0" fontId="20" fillId="29" borderId="10" xfId="53" applyFont="1" applyFill="1" applyBorder="1" applyAlignment="1">
      <alignment horizontal="center" vertical="center" wrapText="1"/>
    </xf>
    <xf numFmtId="0" fontId="28" fillId="0" borderId="10" xfId="49" applyFont="1" applyBorder="1" applyAlignment="1">
      <alignment wrapText="1"/>
    </xf>
    <xf numFmtId="3" fontId="19" fillId="29" borderId="10" xfId="53" applyNumberFormat="1" applyFont="1" applyFill="1" applyBorder="1" applyAlignment="1">
      <alignment horizontal="right" wrapText="1"/>
    </xf>
    <xf numFmtId="3" fontId="28" fillId="0" borderId="10" xfId="49" applyNumberFormat="1" applyFont="1" applyBorder="1"/>
    <xf numFmtId="0" fontId="28" fillId="0" borderId="0" xfId="49" applyFont="1" applyBorder="1"/>
    <xf numFmtId="0" fontId="28" fillId="0" borderId="10" xfId="49" applyFont="1" applyBorder="1"/>
    <xf numFmtId="3" fontId="28" fillId="0" borderId="0" xfId="49" applyNumberFormat="1" applyFont="1"/>
    <xf numFmtId="0" fontId="28" fillId="0" borderId="25" xfId="52" applyFont="1" applyBorder="1"/>
    <xf numFmtId="0" fontId="28" fillId="0" borderId="18" xfId="52" applyFont="1" applyBorder="1"/>
    <xf numFmtId="0" fontId="28" fillId="0" borderId="15" xfId="52" applyFont="1" applyBorder="1"/>
    <xf numFmtId="3" fontId="21" fillId="0" borderId="0" xfId="49" applyNumberFormat="1" applyFont="1" applyBorder="1"/>
    <xf numFmtId="0" fontId="28" fillId="0" borderId="11" xfId="52" applyFont="1" applyBorder="1"/>
    <xf numFmtId="3" fontId="21" fillId="29" borderId="10" xfId="52" applyNumberFormat="1" applyFont="1" applyFill="1" applyBorder="1" applyAlignment="1">
      <alignment horizontal="right" wrapText="1"/>
    </xf>
    <xf numFmtId="3" fontId="33" fillId="29" borderId="12" xfId="52" applyNumberFormat="1" applyFont="1" applyFill="1" applyBorder="1" applyAlignment="1">
      <alignment horizontal="right" wrapText="1"/>
    </xf>
    <xf numFmtId="3" fontId="28" fillId="29" borderId="10" xfId="52" applyNumberFormat="1" applyFont="1" applyFill="1" applyBorder="1" applyAlignment="1">
      <alignment horizontal="right" wrapText="1"/>
    </xf>
    <xf numFmtId="3" fontId="28" fillId="29" borderId="12" xfId="52" applyNumberFormat="1" applyFont="1" applyFill="1" applyBorder="1" applyAlignment="1">
      <alignment horizontal="right" wrapText="1"/>
    </xf>
    <xf numFmtId="3" fontId="21" fillId="29" borderId="12" xfId="52" applyNumberFormat="1" applyFont="1" applyFill="1" applyBorder="1" applyAlignment="1">
      <alignment horizontal="right" wrapText="1"/>
    </xf>
    <xf numFmtId="3" fontId="21" fillId="29" borderId="15" xfId="52" applyNumberFormat="1" applyFont="1" applyFill="1" applyBorder="1" applyAlignment="1">
      <alignment horizontal="right" wrapText="1"/>
    </xf>
    <xf numFmtId="3" fontId="28" fillId="29" borderId="15" xfId="52" applyNumberFormat="1" applyFont="1" applyFill="1" applyBorder="1" applyAlignment="1">
      <alignment horizontal="right" wrapText="1"/>
    </xf>
    <xf numFmtId="3" fontId="33" fillId="29" borderId="13" xfId="52" applyNumberFormat="1" applyFont="1" applyFill="1" applyBorder="1" applyAlignment="1">
      <alignment horizontal="right" wrapText="1"/>
    </xf>
    <xf numFmtId="3" fontId="28" fillId="29" borderId="13" xfId="52" applyNumberFormat="1" applyFont="1" applyFill="1" applyBorder="1" applyAlignment="1">
      <alignment horizontal="right" wrapText="1"/>
    </xf>
    <xf numFmtId="3" fontId="33" fillId="29" borderId="10" xfId="52" applyNumberFormat="1" applyFont="1" applyFill="1" applyBorder="1" applyAlignment="1">
      <alignment horizontal="right" wrapText="1"/>
    </xf>
    <xf numFmtId="0" fontId="0" fillId="0" borderId="0" xfId="52" applyFont="1"/>
    <xf numFmtId="0" fontId="21" fillId="29" borderId="27" xfId="52" applyFont="1" applyFill="1" applyBorder="1" applyAlignment="1">
      <alignment wrapText="1"/>
    </xf>
    <xf numFmtId="0" fontId="28" fillId="29" borderId="27" xfId="52" applyFont="1" applyFill="1" applyBorder="1" applyAlignment="1">
      <alignment wrapText="1"/>
    </xf>
    <xf numFmtId="0" fontId="28" fillId="29" borderId="27" xfId="51" applyFont="1" applyFill="1" applyBorder="1" applyAlignment="1">
      <alignment wrapText="1"/>
    </xf>
    <xf numFmtId="0" fontId="0" fillId="29" borderId="27" xfId="51" applyFont="1" applyFill="1" applyBorder="1" applyAlignment="1">
      <alignment wrapText="1"/>
    </xf>
    <xf numFmtId="3" fontId="28" fillId="29" borderId="41" xfId="52" applyNumberFormat="1" applyFont="1" applyFill="1" applyBorder="1" applyAlignment="1">
      <alignment horizontal="right" wrapText="1"/>
    </xf>
    <xf numFmtId="0" fontId="21" fillId="29" borderId="40" xfId="52" applyFont="1" applyFill="1" applyBorder="1" applyAlignment="1">
      <alignment wrapText="1"/>
    </xf>
    <xf numFmtId="0" fontId="28" fillId="29" borderId="32" xfId="51" applyFont="1" applyFill="1" applyBorder="1" applyAlignment="1">
      <alignment wrapText="1"/>
    </xf>
    <xf numFmtId="164" fontId="28" fillId="29" borderId="27" xfId="52" applyNumberFormat="1" applyFont="1" applyFill="1" applyBorder="1" applyAlignment="1">
      <alignment wrapText="1"/>
    </xf>
    <xf numFmtId="164" fontId="0" fillId="29" borderId="27" xfId="52" applyNumberFormat="1" applyFont="1" applyFill="1" applyBorder="1" applyAlignment="1">
      <alignment wrapText="1"/>
    </xf>
    <xf numFmtId="0" fontId="28" fillId="29" borderId="27" xfId="51" applyFont="1" applyFill="1" applyBorder="1" applyAlignment="1">
      <alignment horizontal="left" wrapText="1"/>
    </xf>
    <xf numFmtId="0" fontId="28" fillId="29" borderId="36" xfId="51" applyFont="1" applyFill="1" applyBorder="1" applyAlignment="1">
      <alignment wrapText="1"/>
    </xf>
    <xf numFmtId="0" fontId="21" fillId="29" borderId="27" xfId="51" applyFont="1" applyFill="1" applyBorder="1" applyAlignment="1">
      <alignment wrapText="1"/>
    </xf>
    <xf numFmtId="0" fontId="21" fillId="29" borderId="34" xfId="51" applyFont="1" applyFill="1" applyBorder="1" applyAlignment="1">
      <alignment wrapText="1"/>
    </xf>
    <xf numFmtId="0" fontId="21" fillId="29" borderId="34" xfId="52" applyFont="1" applyFill="1" applyBorder="1" applyAlignment="1">
      <alignment wrapText="1"/>
    </xf>
    <xf numFmtId="0" fontId="19" fillId="0" borderId="13" xfId="52" applyFont="1" applyBorder="1" applyAlignment="1">
      <alignment wrapText="1"/>
    </xf>
    <xf numFmtId="3" fontId="24" fillId="0" borderId="13" xfId="52" applyNumberFormat="1" applyFont="1" applyBorder="1"/>
    <xf numFmtId="3" fontId="24" fillId="0" borderId="40" xfId="43" applyNumberFormat="1" applyFont="1" applyFill="1" applyBorder="1" applyAlignment="1">
      <alignment wrapText="1"/>
    </xf>
    <xf numFmtId="3" fontId="24" fillId="0" borderId="47" xfId="43" applyNumberFormat="1" applyFont="1" applyFill="1" applyBorder="1" applyAlignment="1">
      <alignment wrapText="1"/>
    </xf>
    <xf numFmtId="3" fontId="23" fillId="0" borderId="50" xfId="43" applyNumberFormat="1" applyFont="1" applyBorder="1" applyAlignment="1">
      <alignment wrapText="1"/>
    </xf>
    <xf numFmtId="0" fontId="19" fillId="0" borderId="31" xfId="45" applyFont="1" applyBorder="1"/>
    <xf numFmtId="0" fontId="19" fillId="29" borderId="27" xfId="52" applyFont="1" applyFill="1" applyBorder="1" applyAlignment="1">
      <alignment wrapText="1"/>
    </xf>
    <xf numFmtId="0" fontId="19" fillId="0" borderId="40" xfId="45" applyFont="1" applyBorder="1" applyAlignment="1">
      <alignment wrapText="1"/>
    </xf>
    <xf numFmtId="0" fontId="19" fillId="0" borderId="27" xfId="45" applyFont="1" applyBorder="1" applyAlignment="1">
      <alignment wrapText="1"/>
    </xf>
    <xf numFmtId="0" fontId="19" fillId="0" borderId="28" xfId="45" applyFont="1" applyBorder="1"/>
    <xf numFmtId="0" fontId="19" fillId="29" borderId="27" xfId="51" applyFont="1" applyFill="1" applyBorder="1" applyAlignment="1">
      <alignment wrapText="1"/>
    </xf>
    <xf numFmtId="164" fontId="19" fillId="0" borderId="17" xfId="45" applyNumberFormat="1" applyFont="1" applyBorder="1" applyAlignment="1">
      <alignment wrapText="1"/>
    </xf>
    <xf numFmtId="0" fontId="19" fillId="0" borderId="22" xfId="45" applyFont="1" applyBorder="1" applyAlignment="1">
      <alignment wrapText="1"/>
    </xf>
    <xf numFmtId="0" fontId="20" fillId="0" borderId="27" xfId="45" applyFont="1" applyBorder="1" applyAlignment="1">
      <alignment wrapText="1"/>
    </xf>
    <xf numFmtId="0" fontId="20" fillId="0" borderId="28" xfId="45" applyFont="1" applyBorder="1"/>
    <xf numFmtId="0" fontId="20" fillId="0" borderId="42" xfId="45" applyFont="1" applyBorder="1"/>
    <xf numFmtId="0" fontId="20" fillId="0" borderId="31" xfId="45" applyFont="1" applyBorder="1"/>
    <xf numFmtId="0" fontId="20" fillId="0" borderId="40" xfId="45" applyFont="1" applyBorder="1" applyAlignment="1">
      <alignment wrapText="1"/>
    </xf>
    <xf numFmtId="0" fontId="19" fillId="0" borderId="34" xfId="45" applyFont="1" applyBorder="1" applyAlignment="1">
      <alignment wrapText="1"/>
    </xf>
    <xf numFmtId="0" fontId="19" fillId="0" borderId="23" xfId="45" applyNumberFormat="1" applyFont="1" applyBorder="1" applyAlignment="1">
      <alignment wrapText="1"/>
    </xf>
    <xf numFmtId="0" fontId="20" fillId="0" borderId="36" xfId="45" applyFont="1" applyBorder="1" applyAlignment="1">
      <alignment wrapText="1"/>
    </xf>
    <xf numFmtId="0" fontId="20" fillId="0" borderId="52" xfId="45" applyFont="1" applyBorder="1"/>
    <xf numFmtId="0" fontId="20" fillId="0" borderId="37" xfId="45" applyFont="1" applyBorder="1"/>
    <xf numFmtId="0" fontId="20" fillId="0" borderId="46" xfId="45" applyFont="1" applyBorder="1" applyAlignment="1">
      <alignment wrapText="1"/>
    </xf>
    <xf numFmtId="0" fontId="19" fillId="0" borderId="42" xfId="45" applyFont="1" applyBorder="1"/>
    <xf numFmtId="0" fontId="19" fillId="0" borderId="42" xfId="45" applyFont="1" applyBorder="1" applyAlignment="1">
      <alignment wrapText="1"/>
    </xf>
    <xf numFmtId="0" fontId="20" fillId="0" borderId="45" xfId="45" applyFont="1" applyBorder="1"/>
    <xf numFmtId="3" fontId="20" fillId="0" borderId="42" xfId="45" applyNumberFormat="1" applyFont="1" applyBorder="1"/>
    <xf numFmtId="3" fontId="20" fillId="0" borderId="28" xfId="45" applyNumberFormat="1" applyFont="1" applyBorder="1"/>
    <xf numFmtId="3" fontId="19" fillId="0" borderId="42" xfId="45" applyNumberFormat="1" applyFont="1" applyBorder="1"/>
    <xf numFmtId="3" fontId="19" fillId="0" borderId="28" xfId="45" applyNumberFormat="1" applyFont="1" applyBorder="1"/>
    <xf numFmtId="0" fontId="20" fillId="0" borderId="29" xfId="45" applyFont="1" applyBorder="1"/>
    <xf numFmtId="3" fontId="20" fillId="0" borderId="45" xfId="45" applyNumberFormat="1" applyFont="1" applyBorder="1"/>
    <xf numFmtId="3" fontId="20" fillId="0" borderId="37" xfId="45" applyNumberFormat="1" applyFont="1" applyBorder="1"/>
    <xf numFmtId="0" fontId="28" fillId="0" borderId="0" xfId="50" applyFont="1" applyFill="1" applyBorder="1" applyAlignment="1">
      <alignment wrapText="1"/>
    </xf>
    <xf numFmtId="3" fontId="24" fillId="0" borderId="0" xfId="45" applyNumberFormat="1" applyFont="1" applyFill="1" applyBorder="1"/>
    <xf numFmtId="0" fontId="20" fillId="29" borderId="14" xfId="53" applyFont="1" applyFill="1" applyBorder="1" applyAlignment="1">
      <alignment horizontal="center" vertical="center" wrapText="1"/>
    </xf>
    <xf numFmtId="3" fontId="19" fillId="0" borderId="14" xfId="49" applyNumberFormat="1" applyFont="1" applyBorder="1"/>
    <xf numFmtId="3" fontId="19" fillId="29" borderId="14" xfId="53" applyNumberFormat="1" applyFont="1" applyFill="1" applyBorder="1" applyAlignment="1">
      <alignment horizontal="right" wrapText="1"/>
    </xf>
    <xf numFmtId="0" fontId="28" fillId="0" borderId="14" xfId="49" applyFont="1" applyBorder="1" applyAlignment="1">
      <alignment wrapText="1"/>
    </xf>
    <xf numFmtId="3" fontId="28" fillId="0" borderId="14" xfId="49" applyNumberFormat="1" applyFont="1" applyBorder="1"/>
    <xf numFmtId="3" fontId="19" fillId="0" borderId="14" xfId="49" applyNumberFormat="1" applyFont="1" applyBorder="1" applyAlignment="1">
      <alignment wrapText="1"/>
    </xf>
    <xf numFmtId="0" fontId="28" fillId="0" borderId="14" xfId="49" applyFont="1" applyBorder="1"/>
    <xf numFmtId="3" fontId="20" fillId="0" borderId="14" xfId="49" applyNumberFormat="1" applyFont="1" applyBorder="1" applyAlignment="1">
      <alignment wrapText="1"/>
    </xf>
    <xf numFmtId="0" fontId="19" fillId="0" borderId="17" xfId="47" applyFont="1" applyBorder="1" applyAlignment="1">
      <alignment wrapText="1"/>
    </xf>
    <xf numFmtId="0" fontId="19" fillId="0" borderId="19" xfId="47" applyFont="1" applyBorder="1" applyAlignment="1">
      <alignment wrapText="1"/>
    </xf>
    <xf numFmtId="0" fontId="19" fillId="0" borderId="17" xfId="49" applyFont="1" applyBorder="1" applyAlignment="1">
      <alignment wrapText="1"/>
    </xf>
    <xf numFmtId="0" fontId="21" fillId="29" borderId="55" xfId="52" applyFont="1" applyFill="1" applyBorder="1" applyAlignment="1">
      <alignment horizontal="center" vertical="center" wrapText="1"/>
    </xf>
    <xf numFmtId="3" fontId="23" fillId="0" borderId="23" xfId="52" applyNumberFormat="1" applyFont="1" applyBorder="1" applyAlignment="1">
      <alignment horizontal="right" wrapText="1"/>
    </xf>
    <xf numFmtId="3" fontId="23" fillId="29" borderId="23" xfId="52" applyNumberFormat="1" applyFont="1" applyFill="1" applyBorder="1" applyAlignment="1">
      <alignment horizontal="right" wrapText="1"/>
    </xf>
    <xf numFmtId="0" fontId="24" fillId="0" borderId="26" xfId="52" applyFont="1" applyBorder="1" applyAlignment="1">
      <alignment horizontal="left" wrapText="1"/>
    </xf>
    <xf numFmtId="3" fontId="24" fillId="0" borderId="42" xfId="52" applyNumberFormat="1" applyFont="1" applyBorder="1"/>
    <xf numFmtId="0" fontId="24" fillId="29" borderId="26" xfId="51" applyFont="1" applyFill="1" applyBorder="1" applyAlignment="1">
      <alignment wrapText="1"/>
    </xf>
    <xf numFmtId="0" fontId="23" fillId="0" borderId="26" xfId="52" applyFont="1" applyBorder="1" applyAlignment="1">
      <alignment horizontal="left" wrapText="1"/>
    </xf>
    <xf numFmtId="3" fontId="23" fillId="0" borderId="42" xfId="52" applyNumberFormat="1" applyFont="1" applyBorder="1" applyAlignment="1">
      <alignment horizontal="right" wrapText="1"/>
    </xf>
    <xf numFmtId="0" fontId="23" fillId="0" borderId="26" xfId="51" applyFont="1" applyBorder="1" applyAlignment="1">
      <alignment horizontal="left" wrapText="1"/>
    </xf>
    <xf numFmtId="0" fontId="23" fillId="29" borderId="26" xfId="52" applyFont="1" applyFill="1" applyBorder="1" applyAlignment="1">
      <alignment horizontal="left" wrapText="1"/>
    </xf>
    <xf numFmtId="3" fontId="23" fillId="29" borderId="42" xfId="52" applyNumberFormat="1" applyFont="1" applyFill="1" applyBorder="1" applyAlignment="1">
      <alignment horizontal="right" wrapText="1"/>
    </xf>
    <xf numFmtId="0" fontId="21" fillId="29" borderId="56" xfId="52" applyFont="1" applyFill="1" applyBorder="1" applyAlignment="1">
      <alignment horizontal="center" vertical="center" wrapText="1"/>
    </xf>
    <xf numFmtId="0" fontId="34" fillId="0" borderId="57" xfId="52" applyFont="1" applyBorder="1" applyAlignment="1">
      <alignment horizontal="center" vertical="center" wrapText="1"/>
    </xf>
    <xf numFmtId="0" fontId="34" fillId="0" borderId="58" xfId="52" applyFont="1" applyBorder="1" applyAlignment="1">
      <alignment horizontal="center" vertical="center" wrapText="1"/>
    </xf>
    <xf numFmtId="0" fontId="21" fillId="29" borderId="59" xfId="52" applyFont="1" applyFill="1" applyBorder="1" applyAlignment="1">
      <alignment horizontal="center" vertical="center" wrapText="1"/>
    </xf>
    <xf numFmtId="0" fontId="23" fillId="0" borderId="60" xfId="52" applyFont="1" applyFill="1" applyBorder="1" applyAlignment="1">
      <alignment horizontal="center" vertical="center" wrapText="1"/>
    </xf>
    <xf numFmtId="0" fontId="20" fillId="0" borderId="60" xfId="45" applyFont="1" applyBorder="1" applyAlignment="1">
      <alignment wrapText="1"/>
    </xf>
    <xf numFmtId="0" fontId="19" fillId="0" borderId="61" xfId="45" applyFont="1" applyBorder="1"/>
    <xf numFmtId="0" fontId="20" fillId="0" borderId="62" xfId="45" applyFont="1" applyBorder="1" applyAlignment="1">
      <alignment wrapText="1"/>
    </xf>
    <xf numFmtId="0" fontId="20" fillId="0" borderId="26" xfId="45" applyFont="1" applyBorder="1"/>
    <xf numFmtId="0" fontId="19" fillId="0" borderId="26" xfId="45" applyFont="1" applyBorder="1"/>
    <xf numFmtId="0" fontId="19" fillId="0" borderId="63" xfId="45" applyFont="1" applyBorder="1"/>
    <xf numFmtId="0" fontId="20" fillId="0" borderId="28" xfId="45" applyFont="1" applyBorder="1" applyAlignment="1">
      <alignment wrapText="1"/>
    </xf>
    <xf numFmtId="3" fontId="23" fillId="0" borderId="42" xfId="52" applyNumberFormat="1" applyFont="1" applyBorder="1"/>
    <xf numFmtId="3" fontId="24" fillId="0" borderId="24" xfId="52" applyNumberFormat="1" applyFont="1" applyBorder="1"/>
    <xf numFmtId="3" fontId="23" fillId="0" borderId="24" xfId="52" applyNumberFormat="1" applyFont="1" applyBorder="1"/>
    <xf numFmtId="3" fontId="21" fillId="29" borderId="25" xfId="52" applyNumberFormat="1" applyFont="1" applyFill="1" applyBorder="1" applyAlignment="1">
      <alignment horizontal="right" wrapText="1"/>
    </xf>
    <xf numFmtId="3" fontId="21" fillId="29" borderId="21" xfId="52" applyNumberFormat="1" applyFont="1" applyFill="1" applyBorder="1" applyAlignment="1">
      <alignment horizontal="right" wrapText="1"/>
    </xf>
    <xf numFmtId="3" fontId="21" fillId="29" borderId="23" xfId="52" applyNumberFormat="1" applyFont="1" applyFill="1" applyBorder="1" applyAlignment="1">
      <alignment horizontal="right" wrapText="1"/>
    </xf>
    <xf numFmtId="3" fontId="28" fillId="29" borderId="23" xfId="52" applyNumberFormat="1" applyFont="1" applyFill="1" applyBorder="1" applyAlignment="1">
      <alignment horizontal="right" wrapText="1"/>
    </xf>
    <xf numFmtId="3" fontId="33" fillId="29" borderId="23" xfId="52" applyNumberFormat="1" applyFont="1" applyFill="1" applyBorder="1" applyAlignment="1">
      <alignment horizontal="right" wrapText="1"/>
    </xf>
    <xf numFmtId="3" fontId="25" fillId="29" borderId="23" xfId="52" applyNumberFormat="1" applyFont="1" applyFill="1" applyBorder="1" applyAlignment="1">
      <alignment horizontal="right" wrapText="1"/>
    </xf>
    <xf numFmtId="0" fontId="19" fillId="0" borderId="22" xfId="45" applyNumberFormat="1" applyFont="1" applyBorder="1" applyAlignment="1">
      <alignment wrapText="1"/>
    </xf>
    <xf numFmtId="0" fontId="19" fillId="0" borderId="70" xfId="45" applyFont="1" applyBorder="1"/>
    <xf numFmtId="0" fontId="19" fillId="0" borderId="23" xfId="45" applyFont="1" applyBorder="1" applyAlignment="1">
      <alignment wrapText="1"/>
    </xf>
    <xf numFmtId="0" fontId="19" fillId="0" borderId="26" xfId="45" applyFont="1" applyBorder="1" applyAlignment="1">
      <alignment wrapText="1"/>
    </xf>
    <xf numFmtId="0" fontId="20" fillId="0" borderId="43" xfId="45" applyFont="1" applyBorder="1"/>
    <xf numFmtId="0" fontId="20" fillId="0" borderId="44" xfId="45" applyFont="1" applyBorder="1"/>
    <xf numFmtId="3" fontId="20" fillId="0" borderId="26" xfId="45" applyNumberFormat="1" applyFont="1" applyBorder="1"/>
    <xf numFmtId="3" fontId="19" fillId="0" borderId="26" xfId="45" applyNumberFormat="1" applyFont="1" applyBorder="1"/>
    <xf numFmtId="3" fontId="20" fillId="0" borderId="43" xfId="45" applyNumberFormat="1" applyFont="1" applyBorder="1"/>
    <xf numFmtId="0" fontId="20" fillId="0" borderId="26" xfId="45" applyFont="1" applyBorder="1" applyAlignment="1">
      <alignment wrapText="1"/>
    </xf>
    <xf numFmtId="0" fontId="0" fillId="0" borderId="34" xfId="52" applyFont="1" applyBorder="1"/>
    <xf numFmtId="3" fontId="23" fillId="0" borderId="71" xfId="43" applyNumberFormat="1" applyFont="1" applyBorder="1" applyAlignment="1">
      <alignment wrapText="1"/>
    </xf>
    <xf numFmtId="0" fontId="28" fillId="29" borderId="51" xfId="52" applyFont="1" applyFill="1" applyBorder="1" applyAlignment="1">
      <alignment wrapText="1"/>
    </xf>
    <xf numFmtId="0" fontId="20" fillId="0" borderId="23" xfId="45" applyFont="1" applyBorder="1" applyAlignment="1">
      <alignment wrapText="1"/>
    </xf>
    <xf numFmtId="0" fontId="19" fillId="0" borderId="21" xfId="45" applyFont="1" applyBorder="1" applyAlignment="1">
      <alignment wrapText="1"/>
    </xf>
    <xf numFmtId="0" fontId="19" fillId="0" borderId="21" xfId="45" applyFont="1" applyFill="1" applyBorder="1" applyAlignment="1">
      <alignment wrapText="1"/>
    </xf>
    <xf numFmtId="0" fontId="20" fillId="0" borderId="21" xfId="45" applyFont="1" applyBorder="1" applyAlignment="1">
      <alignment wrapText="1"/>
    </xf>
    <xf numFmtId="0" fontId="20" fillId="0" borderId="73" xfId="45" applyFont="1" applyBorder="1" applyAlignment="1">
      <alignment wrapText="1"/>
    </xf>
    <xf numFmtId="0" fontId="24" fillId="0" borderId="65" xfId="52" applyFont="1" applyBorder="1" applyAlignment="1">
      <alignment horizontal="left" wrapText="1"/>
    </xf>
    <xf numFmtId="3" fontId="24" fillId="0" borderId="61" xfId="52" applyNumberFormat="1" applyFont="1" applyBorder="1"/>
    <xf numFmtId="0" fontId="23" fillId="0" borderId="56" xfId="52" applyFont="1" applyBorder="1" applyAlignment="1">
      <alignment horizontal="center" vertical="center" wrapText="1"/>
    </xf>
    <xf numFmtId="0" fontId="21" fillId="29" borderId="51" xfId="52" applyFont="1" applyFill="1" applyBorder="1" applyAlignment="1">
      <alignment wrapText="1"/>
    </xf>
    <xf numFmtId="3" fontId="21" fillId="29" borderId="38" xfId="52" applyNumberFormat="1" applyFont="1" applyFill="1" applyBorder="1" applyAlignment="1">
      <alignment horizontal="right" wrapText="1"/>
    </xf>
    <xf numFmtId="0" fontId="21" fillId="29" borderId="71" xfId="52" applyFont="1" applyFill="1" applyBorder="1" applyAlignment="1">
      <alignment wrapText="1"/>
    </xf>
    <xf numFmtId="0" fontId="28" fillId="29" borderId="35" xfId="52" applyFont="1" applyFill="1" applyBorder="1" applyAlignment="1">
      <alignment wrapText="1"/>
    </xf>
    <xf numFmtId="164" fontId="28" fillId="29" borderId="35" xfId="51" applyNumberFormat="1" applyFont="1" applyFill="1" applyBorder="1" applyAlignment="1">
      <alignment wrapText="1"/>
    </xf>
    <xf numFmtId="0" fontId="28" fillId="29" borderId="35" xfId="51" applyFont="1" applyFill="1" applyBorder="1" applyAlignment="1">
      <alignment wrapText="1"/>
    </xf>
    <xf numFmtId="0" fontId="0" fillId="29" borderId="35" xfId="51" applyFont="1" applyFill="1" applyBorder="1" applyAlignment="1">
      <alignment wrapText="1"/>
    </xf>
    <xf numFmtId="0" fontId="21" fillId="29" borderId="35" xfId="52" applyFont="1" applyFill="1" applyBorder="1" applyAlignment="1">
      <alignment wrapText="1"/>
    </xf>
    <xf numFmtId="0" fontId="0" fillId="29" borderId="50" xfId="51" applyFont="1" applyFill="1" applyBorder="1" applyAlignment="1">
      <alignment wrapText="1"/>
    </xf>
    <xf numFmtId="0" fontId="21" fillId="29" borderId="33" xfId="52" applyFont="1" applyFill="1" applyBorder="1" applyAlignment="1">
      <alignment horizontal="center" vertical="center" wrapText="1"/>
    </xf>
    <xf numFmtId="3" fontId="21" fillId="29" borderId="69" xfId="52" applyNumberFormat="1" applyFont="1" applyFill="1" applyBorder="1" applyAlignment="1">
      <alignment horizontal="right" wrapText="1"/>
    </xf>
    <xf numFmtId="3" fontId="28" fillId="29" borderId="44" xfId="52" applyNumberFormat="1" applyFont="1" applyFill="1" applyBorder="1" applyAlignment="1">
      <alignment horizontal="right" wrapText="1"/>
    </xf>
    <xf numFmtId="0" fontId="21" fillId="29" borderId="51" xfId="51" applyFont="1" applyFill="1" applyBorder="1" applyAlignment="1">
      <alignment wrapText="1"/>
    </xf>
    <xf numFmtId="0" fontId="28" fillId="0" borderId="43" xfId="52" applyFont="1" applyBorder="1"/>
    <xf numFmtId="0" fontId="28" fillId="0" borderId="44" xfId="52" applyFont="1" applyBorder="1"/>
    <xf numFmtId="0" fontId="19" fillId="0" borderId="51" xfId="45" applyFont="1" applyBorder="1" applyAlignment="1">
      <alignment wrapText="1"/>
    </xf>
    <xf numFmtId="164" fontId="19" fillId="0" borderId="27" xfId="45" applyNumberFormat="1" applyFont="1" applyBorder="1" applyAlignment="1">
      <alignment wrapText="1"/>
    </xf>
    <xf numFmtId="0" fontId="19" fillId="0" borderId="47" xfId="45" applyFont="1" applyBorder="1" applyAlignment="1">
      <alignment wrapText="1"/>
    </xf>
    <xf numFmtId="0" fontId="20" fillId="0" borderId="34" xfId="45" applyFont="1" applyBorder="1" applyAlignment="1">
      <alignment wrapText="1"/>
    </xf>
    <xf numFmtId="0" fontId="19" fillId="29" borderId="51" xfId="52" applyFont="1" applyFill="1" applyBorder="1" applyAlignment="1">
      <alignment wrapText="1"/>
    </xf>
    <xf numFmtId="0" fontId="21" fillId="29" borderId="49" xfId="52" applyFont="1" applyFill="1" applyBorder="1" applyAlignment="1">
      <alignment wrapText="1"/>
    </xf>
    <xf numFmtId="0" fontId="21" fillId="0" borderId="0" xfId="50" applyFont="1" applyFill="1"/>
    <xf numFmtId="0" fontId="19" fillId="0" borderId="66" xfId="45" applyFont="1" applyBorder="1"/>
    <xf numFmtId="164" fontId="19" fillId="0" borderId="34" xfId="45" applyNumberFormat="1" applyFont="1" applyBorder="1" applyAlignment="1">
      <alignment wrapText="1"/>
    </xf>
    <xf numFmtId="0" fontId="19" fillId="0" borderId="0" xfId="45" applyNumberFormat="1" applyFont="1" applyBorder="1" applyAlignment="1">
      <alignment wrapText="1"/>
    </xf>
    <xf numFmtId="0" fontId="19" fillId="0" borderId="67" xfId="45" applyNumberFormat="1" applyFont="1" applyBorder="1" applyAlignment="1">
      <alignment wrapText="1"/>
    </xf>
    <xf numFmtId="0" fontId="19" fillId="0" borderId="30" xfId="45" applyFont="1" applyBorder="1"/>
    <xf numFmtId="0" fontId="0" fillId="0" borderId="0" xfId="49" applyFont="1" applyAlignment="1">
      <alignment wrapText="1"/>
    </xf>
    <xf numFmtId="0" fontId="19" fillId="0" borderId="0" xfId="44" applyFont="1" applyBorder="1" applyAlignment="1">
      <alignment wrapText="1"/>
    </xf>
    <xf numFmtId="3" fontId="28" fillId="0" borderId="0" xfId="44" applyNumberFormat="1" applyFont="1"/>
    <xf numFmtId="3" fontId="19" fillId="29" borderId="23" xfId="46" applyNumberFormat="1" applyFont="1" applyFill="1" applyBorder="1"/>
    <xf numFmtId="0" fontId="19" fillId="0" borderId="26" xfId="46" applyFont="1" applyFill="1" applyBorder="1"/>
    <xf numFmtId="0" fontId="20" fillId="0" borderId="23" xfId="46" applyFont="1" applyBorder="1"/>
    <xf numFmtId="0" fontId="19" fillId="0" borderId="23" xfId="46" applyFont="1" applyFill="1" applyBorder="1"/>
    <xf numFmtId="0" fontId="20" fillId="0" borderId="23" xfId="46" applyFont="1" applyFill="1" applyBorder="1"/>
    <xf numFmtId="0" fontId="19" fillId="0" borderId="0" xfId="0" applyFont="1"/>
    <xf numFmtId="0" fontId="20" fillId="0" borderId="26" xfId="46" applyFont="1" applyFill="1" applyBorder="1"/>
    <xf numFmtId="3" fontId="20" fillId="0" borderId="23" xfId="46" applyNumberFormat="1" applyFont="1" applyFill="1" applyBorder="1"/>
    <xf numFmtId="3" fontId="20" fillId="29" borderId="23" xfId="46" applyNumberFormat="1" applyFont="1" applyFill="1" applyBorder="1"/>
    <xf numFmtId="3" fontId="20" fillId="29" borderId="42" xfId="46" applyNumberFormat="1" applyFont="1" applyFill="1" applyBorder="1" applyAlignment="1">
      <alignment horizontal="right"/>
    </xf>
    <xf numFmtId="4" fontId="20" fillId="0" borderId="23" xfId="46" applyNumberFormat="1" applyFont="1" applyFill="1" applyBorder="1"/>
    <xf numFmtId="3" fontId="20" fillId="0" borderId="42" xfId="0" applyNumberFormat="1" applyFont="1" applyBorder="1" applyAlignment="1">
      <alignment horizontal="right"/>
    </xf>
    <xf numFmtId="4" fontId="19" fillId="0" borderId="23" xfId="46" applyNumberFormat="1" applyFont="1" applyFill="1" applyBorder="1"/>
    <xf numFmtId="3" fontId="19" fillId="0" borderId="42" xfId="0" applyNumberFormat="1" applyFont="1" applyBorder="1" applyAlignment="1">
      <alignment horizontal="right"/>
    </xf>
    <xf numFmtId="3" fontId="19" fillId="29" borderId="42" xfId="46" applyNumberFormat="1" applyFont="1" applyFill="1" applyBorder="1" applyAlignment="1">
      <alignment horizontal="right"/>
    </xf>
    <xf numFmtId="0" fontId="20" fillId="0" borderId="26" xfId="48" applyFont="1" applyFill="1" applyBorder="1"/>
    <xf numFmtId="0" fontId="19" fillId="0" borderId="26" xfId="48" applyFont="1" applyFill="1" applyBorder="1"/>
    <xf numFmtId="3" fontId="19" fillId="0" borderId="23" xfId="46" applyNumberFormat="1" applyFont="1" applyFill="1" applyBorder="1"/>
    <xf numFmtId="166" fontId="19" fillId="29" borderId="23" xfId="46" applyNumberFormat="1" applyFont="1" applyFill="1" applyBorder="1"/>
    <xf numFmtId="3" fontId="19" fillId="0" borderId="42" xfId="46" applyNumberFormat="1" applyFont="1" applyBorder="1"/>
    <xf numFmtId="166" fontId="20" fillId="29" borderId="23" xfId="46" applyNumberFormat="1" applyFont="1" applyFill="1" applyBorder="1"/>
    <xf numFmtId="3" fontId="19" fillId="0" borderId="42" xfId="46" applyNumberFormat="1" applyFont="1" applyFill="1" applyBorder="1"/>
    <xf numFmtId="0" fontId="20" fillId="0" borderId="26" xfId="0" applyFont="1" applyBorder="1"/>
    <xf numFmtId="3" fontId="20" fillId="0" borderId="42" xfId="46" applyNumberFormat="1" applyFont="1" applyBorder="1"/>
    <xf numFmtId="0" fontId="19" fillId="0" borderId="26" xfId="0" applyFont="1" applyBorder="1"/>
    <xf numFmtId="3" fontId="19" fillId="0" borderId="42" xfId="0" applyNumberFormat="1" applyFont="1" applyBorder="1"/>
    <xf numFmtId="3" fontId="20" fillId="29" borderId="42" xfId="46" applyNumberFormat="1" applyFont="1" applyFill="1" applyBorder="1"/>
    <xf numFmtId="3" fontId="19" fillId="29" borderId="42" xfId="46" applyNumberFormat="1" applyFont="1" applyFill="1" applyBorder="1"/>
    <xf numFmtId="0" fontId="22" fillId="0" borderId="26" xfId="46" applyFont="1" applyFill="1" applyBorder="1"/>
    <xf numFmtId="165" fontId="19" fillId="0" borderId="23" xfId="46" applyNumberFormat="1" applyFont="1" applyFill="1" applyBorder="1"/>
    <xf numFmtId="0" fontId="19" fillId="0" borderId="26" xfId="46" applyFont="1" applyFill="1" applyBorder="1" applyAlignment="1">
      <alignment wrapText="1"/>
    </xf>
    <xf numFmtId="0" fontId="22" fillId="0" borderId="23" xfId="46" applyFont="1" applyFill="1" applyBorder="1"/>
    <xf numFmtId="3" fontId="22" fillId="0" borderId="23" xfId="46" applyNumberFormat="1" applyFont="1" applyFill="1" applyBorder="1"/>
    <xf numFmtId="3" fontId="22" fillId="29" borderId="23" xfId="46" applyNumberFormat="1" applyFont="1" applyFill="1" applyBorder="1"/>
    <xf numFmtId="2" fontId="20" fillId="0" borderId="23" xfId="46" applyNumberFormat="1" applyFont="1" applyFill="1" applyBorder="1"/>
    <xf numFmtId="1" fontId="19" fillId="0" borderId="23" xfId="46" applyNumberFormat="1" applyFont="1" applyFill="1" applyBorder="1"/>
    <xf numFmtId="0" fontId="19" fillId="0" borderId="42" xfId="46" applyFont="1" applyBorder="1"/>
    <xf numFmtId="3" fontId="20" fillId="0" borderId="26" xfId="46" applyNumberFormat="1" applyFont="1" applyFill="1" applyBorder="1"/>
    <xf numFmtId="3" fontId="19" fillId="0" borderId="26" xfId="46" applyNumberFormat="1" applyFont="1" applyFill="1" applyBorder="1"/>
    <xf numFmtId="0" fontId="20" fillId="0" borderId="43" xfId="46" applyFont="1" applyFill="1" applyBorder="1"/>
    <xf numFmtId="0" fontId="19" fillId="0" borderId="44" xfId="46" applyFont="1" applyBorder="1"/>
    <xf numFmtId="3" fontId="20" fillId="0" borderId="45" xfId="46" applyNumberFormat="1" applyFont="1" applyBorder="1"/>
    <xf numFmtId="0" fontId="0" fillId="29" borderId="27" xfId="52" applyFont="1" applyFill="1" applyBorder="1" applyAlignment="1">
      <alignment horizontal="center" wrapText="1"/>
    </xf>
    <xf numFmtId="3" fontId="0" fillId="0" borderId="23" xfId="0" applyNumberFormat="1" applyFill="1" applyBorder="1"/>
    <xf numFmtId="3" fontId="0" fillId="0" borderId="77" xfId="0" applyNumberFormat="1" applyFill="1" applyBorder="1"/>
    <xf numFmtId="0" fontId="28" fillId="0" borderId="76" xfId="88" applyFont="1" applyFill="1" applyBorder="1"/>
    <xf numFmtId="3" fontId="0" fillId="0" borderId="78" xfId="0" applyNumberFormat="1" applyFill="1" applyBorder="1"/>
    <xf numFmtId="3" fontId="24" fillId="0" borderId="0" xfId="52" applyNumberFormat="1" applyFont="1" applyFill="1" applyBorder="1" applyAlignment="1">
      <alignment horizontal="right" vertical="center" wrapText="1"/>
    </xf>
    <xf numFmtId="0" fontId="0" fillId="0" borderId="0" xfId="50" applyFont="1" applyFill="1" applyBorder="1" applyAlignment="1">
      <alignment wrapText="1"/>
    </xf>
    <xf numFmtId="0" fontId="28" fillId="0" borderId="0" xfId="50" applyFont="1" applyBorder="1" applyAlignment="1">
      <alignment wrapText="1"/>
    </xf>
    <xf numFmtId="0" fontId="23" fillId="0" borderId="0" xfId="52" applyFont="1" applyFill="1" applyBorder="1" applyAlignment="1">
      <alignment horizontal="center" vertical="center" wrapText="1"/>
    </xf>
    <xf numFmtId="0" fontId="34" fillId="0" borderId="0" xfId="52" applyFont="1" applyBorder="1" applyAlignment="1">
      <alignment horizontal="center" vertical="center" wrapText="1"/>
    </xf>
    <xf numFmtId="0" fontId="24" fillId="0" borderId="0" xfId="52" applyFont="1" applyFill="1" applyBorder="1" applyAlignment="1">
      <alignment horizontal="left" vertical="center" wrapText="1"/>
    </xf>
    <xf numFmtId="0" fontId="28" fillId="0" borderId="0" xfId="45" applyFont="1" applyFill="1" applyBorder="1" applyAlignment="1">
      <alignment wrapText="1"/>
    </xf>
    <xf numFmtId="0" fontId="0" fillId="0" borderId="0" xfId="45" applyFont="1" applyFill="1" applyBorder="1" applyAlignment="1">
      <alignment wrapText="1"/>
    </xf>
    <xf numFmtId="0" fontId="28" fillId="0" borderId="0" xfId="45" applyFont="1" applyFill="1" applyBorder="1" applyAlignment="1">
      <alignment horizontal="left" vertical="center" wrapText="1"/>
    </xf>
    <xf numFmtId="0" fontId="35" fillId="0" borderId="0" xfId="52" applyFont="1" applyFill="1" applyBorder="1" applyAlignment="1">
      <alignment horizontal="left" vertical="center" wrapText="1"/>
    </xf>
    <xf numFmtId="0" fontId="23" fillId="0" borderId="0" xfId="50" applyFont="1" applyFill="1" applyBorder="1" applyAlignment="1">
      <alignment wrapText="1"/>
    </xf>
    <xf numFmtId="3" fontId="23" fillId="0" borderId="0" xfId="50" applyNumberFormat="1" applyFont="1" applyFill="1" applyBorder="1"/>
    <xf numFmtId="0" fontId="28" fillId="0" borderId="26" xfId="0" applyFont="1" applyFill="1" applyBorder="1" applyAlignment="1">
      <alignment horizontal="left" wrapText="1"/>
    </xf>
    <xf numFmtId="0" fontId="38" fillId="0" borderId="0" xfId="51" applyFont="1" applyFill="1"/>
    <xf numFmtId="0" fontId="40" fillId="0" borderId="82" xfId="51" applyFont="1" applyFill="1" applyBorder="1" applyAlignment="1">
      <alignment horizontal="left" vertical="center" wrapText="1" indent="1"/>
    </xf>
    <xf numFmtId="0" fontId="39" fillId="0" borderId="83" xfId="51" applyFont="1" applyFill="1" applyBorder="1" applyAlignment="1">
      <alignment horizontal="left" vertical="center" wrapText="1" indent="2"/>
    </xf>
    <xf numFmtId="0" fontId="35" fillId="0" borderId="83" xfId="51" applyFont="1" applyFill="1" applyBorder="1" applyAlignment="1">
      <alignment horizontal="left" vertical="center" wrapText="1" indent="2"/>
    </xf>
    <xf numFmtId="0" fontId="42" fillId="0" borderId="83" xfId="51" applyFont="1" applyFill="1" applyBorder="1" applyAlignment="1">
      <alignment horizontal="left" vertical="center" wrapText="1" indent="1"/>
    </xf>
    <xf numFmtId="0" fontId="40" fillId="0" borderId="83" xfId="51" applyFont="1" applyFill="1" applyBorder="1" applyAlignment="1">
      <alignment horizontal="left" vertical="center" wrapText="1" indent="1"/>
    </xf>
    <xf numFmtId="0" fontId="35" fillId="0" borderId="83" xfId="51" applyFont="1" applyFill="1" applyBorder="1" applyAlignment="1">
      <alignment horizontal="left" vertical="center" wrapText="1" indent="1"/>
    </xf>
    <xf numFmtId="0" fontId="39" fillId="0" borderId="54" xfId="51" applyFont="1" applyFill="1" applyBorder="1" applyAlignment="1">
      <alignment horizontal="left" vertical="center" wrapText="1" indent="1"/>
    </xf>
    <xf numFmtId="0" fontId="40" fillId="30" borderId="59" xfId="51" applyFont="1" applyFill="1" applyBorder="1" applyAlignment="1">
      <alignment horizontal="center" vertical="center" wrapText="1"/>
    </xf>
    <xf numFmtId="0" fontId="42" fillId="0" borderId="83" xfId="51" applyFont="1" applyFill="1" applyBorder="1" applyAlignment="1">
      <alignment horizontal="left" vertical="center" wrapText="1" indent="2"/>
    </xf>
    <xf numFmtId="0" fontId="39" fillId="0" borderId="83" xfId="51" applyFont="1" applyFill="1" applyBorder="1" applyAlignment="1">
      <alignment horizontal="left" vertical="center" wrapText="1" indent="1"/>
    </xf>
    <xf numFmtId="0" fontId="35" fillId="0" borderId="23" xfId="0" applyFont="1" applyBorder="1" applyAlignment="1">
      <alignment horizontal="left" wrapText="1" indent="5"/>
    </xf>
    <xf numFmtId="3" fontId="28" fillId="0" borderId="23" xfId="45" applyNumberFormat="1" applyFont="1" applyBorder="1"/>
    <xf numFmtId="3" fontId="41" fillId="30" borderId="23" xfId="51" applyNumberFormat="1" applyFont="1" applyFill="1" applyBorder="1" applyAlignment="1">
      <alignment horizontal="right" vertical="center" wrapText="1"/>
    </xf>
    <xf numFmtId="3" fontId="28" fillId="0" borderId="23" xfId="0" applyNumberFormat="1" applyFont="1" applyBorder="1" applyAlignment="1">
      <alignment horizontal="right" wrapText="1"/>
    </xf>
    <xf numFmtId="3" fontId="28" fillId="0" borderId="81" xfId="0" applyNumberFormat="1" applyFont="1" applyBorder="1" applyAlignment="1">
      <alignment horizontal="right" wrapText="1"/>
    </xf>
    <xf numFmtId="3" fontId="19" fillId="0" borderId="39" xfId="45" applyNumberFormat="1" applyFont="1" applyBorder="1"/>
    <xf numFmtId="3" fontId="19" fillId="0" borderId="31" xfId="45" applyNumberFormat="1" applyFont="1" applyBorder="1"/>
    <xf numFmtId="3" fontId="19" fillId="0" borderId="48" xfId="45" applyNumberFormat="1" applyFont="1" applyBorder="1"/>
    <xf numFmtId="3" fontId="19" fillId="0" borderId="72" xfId="45" applyNumberFormat="1" applyFont="1" applyBorder="1"/>
    <xf numFmtId="3" fontId="19" fillId="0" borderId="16" xfId="45" applyNumberFormat="1" applyFont="1" applyBorder="1"/>
    <xf numFmtId="3" fontId="19" fillId="0" borderId="14" xfId="45" applyNumberFormat="1" applyFont="1" applyBorder="1"/>
    <xf numFmtId="3" fontId="19" fillId="0" borderId="70" xfId="45" applyNumberFormat="1" applyFont="1" applyBorder="1"/>
    <xf numFmtId="3" fontId="19" fillId="0" borderId="63" xfId="45" applyNumberFormat="1" applyFont="1" applyBorder="1"/>
    <xf numFmtId="0" fontId="24" fillId="0" borderId="75" xfId="0" applyFont="1" applyFill="1" applyBorder="1" applyAlignment="1">
      <alignment horizontal="center" wrapText="1"/>
    </xf>
    <xf numFmtId="0" fontId="24" fillId="0" borderId="79" xfId="0" applyFont="1" applyFill="1" applyBorder="1" applyAlignment="1">
      <alignment horizontal="center" wrapText="1"/>
    </xf>
    <xf numFmtId="0" fontId="24" fillId="0" borderId="80" xfId="0" applyFont="1" applyFill="1" applyBorder="1" applyAlignment="1">
      <alignment horizontal="center" wrapText="1"/>
    </xf>
    <xf numFmtId="3" fontId="23" fillId="0" borderId="56" xfId="0" applyNumberFormat="1" applyFont="1" applyFill="1" applyBorder="1" applyAlignment="1">
      <alignment horizontal="left" wrapText="1"/>
    </xf>
    <xf numFmtId="3" fontId="23" fillId="0" borderId="58" xfId="0" applyNumberFormat="1" applyFont="1" applyFill="1" applyBorder="1" applyAlignment="1">
      <alignment horizontal="right" wrapText="1"/>
    </xf>
    <xf numFmtId="3" fontId="24" fillId="0" borderId="63" xfId="0" applyNumberFormat="1" applyFont="1" applyFill="1" applyBorder="1" applyAlignment="1">
      <alignment horizontal="left" wrapText="1"/>
    </xf>
    <xf numFmtId="3" fontId="23" fillId="0" borderId="69" xfId="0" applyNumberFormat="1" applyFont="1" applyFill="1" applyBorder="1" applyAlignment="1">
      <alignment horizontal="right" wrapText="1"/>
    </xf>
    <xf numFmtId="3" fontId="23" fillId="0" borderId="80" xfId="0" applyNumberFormat="1" applyFont="1" applyFill="1" applyBorder="1" applyAlignment="1">
      <alignment horizontal="right" wrapText="1"/>
    </xf>
    <xf numFmtId="0" fontId="24" fillId="0" borderId="65" xfId="0" applyFont="1" applyFill="1" applyBorder="1" applyAlignment="1">
      <alignment wrapText="1"/>
    </xf>
    <xf numFmtId="3" fontId="24" fillId="0" borderId="68" xfId="0" applyNumberFormat="1" applyFont="1" applyFill="1" applyBorder="1"/>
    <xf numFmtId="3" fontId="23" fillId="0" borderId="23" xfId="0" applyNumberFormat="1" applyFont="1" applyFill="1" applyBorder="1" applyAlignment="1">
      <alignment horizontal="right" wrapText="1"/>
    </xf>
    <xf numFmtId="0" fontId="24" fillId="0" borderId="26" xfId="0" applyFont="1" applyFill="1" applyBorder="1" applyAlignment="1">
      <alignment wrapText="1"/>
    </xf>
    <xf numFmtId="3" fontId="24" fillId="0" borderId="23" xfId="0" applyNumberFormat="1" applyFont="1" applyFill="1" applyBorder="1"/>
    <xf numFmtId="3" fontId="24" fillId="0" borderId="77" xfId="0" applyNumberFormat="1" applyFont="1" applyFill="1" applyBorder="1"/>
    <xf numFmtId="0" fontId="26" fillId="0" borderId="26" xfId="0" applyFont="1" applyFill="1" applyBorder="1" applyAlignment="1">
      <alignment wrapText="1"/>
    </xf>
    <xf numFmtId="3" fontId="26" fillId="0" borderId="23" xfId="0" applyNumberFormat="1" applyFont="1" applyFill="1" applyBorder="1"/>
    <xf numFmtId="3" fontId="0" fillId="0" borderId="0" xfId="0" applyNumberFormat="1"/>
    <xf numFmtId="0" fontId="23" fillId="0" borderId="26" xfId="0" applyFont="1" applyFill="1" applyBorder="1" applyAlignment="1">
      <alignment wrapText="1"/>
    </xf>
    <xf numFmtId="0" fontId="23" fillId="0" borderId="23" xfId="0" applyFont="1" applyFill="1" applyBorder="1"/>
    <xf numFmtId="3" fontId="23" fillId="0" borderId="23" xfId="0" applyNumberFormat="1" applyFont="1" applyFill="1" applyBorder="1"/>
    <xf numFmtId="3" fontId="23" fillId="0" borderId="61" xfId="0" applyNumberFormat="1" applyFont="1" applyFill="1" applyBorder="1" applyAlignment="1">
      <alignment horizontal="right" wrapText="1"/>
    </xf>
    <xf numFmtId="3" fontId="23" fillId="0" borderId="23" xfId="0" applyNumberFormat="1" applyFont="1" applyFill="1" applyBorder="1" applyAlignment="1">
      <alignment horizontal="right"/>
    </xf>
    <xf numFmtId="3" fontId="23" fillId="0" borderId="42" xfId="0" applyNumberFormat="1" applyFont="1" applyFill="1" applyBorder="1" applyAlignment="1">
      <alignment horizontal="right"/>
    </xf>
    <xf numFmtId="3" fontId="24" fillId="0" borderId="42" xfId="0" applyNumberFormat="1" applyFont="1" applyFill="1" applyBorder="1"/>
    <xf numFmtId="3" fontId="24" fillId="0" borderId="78" xfId="0" applyNumberFormat="1" applyFont="1" applyFill="1" applyBorder="1"/>
    <xf numFmtId="0" fontId="23" fillId="0" borderId="53" xfId="0" applyFont="1" applyFill="1" applyBorder="1" applyAlignment="1">
      <alignment wrapText="1"/>
    </xf>
    <xf numFmtId="3" fontId="23" fillId="0" borderId="67" xfId="0" applyNumberFormat="1" applyFont="1" applyFill="1" applyBorder="1"/>
    <xf numFmtId="0" fontId="23" fillId="0" borderId="43" xfId="0" applyFont="1" applyFill="1" applyBorder="1" applyAlignment="1">
      <alignment wrapText="1"/>
    </xf>
    <xf numFmtId="3" fontId="23" fillId="0" borderId="44" xfId="0" applyNumberFormat="1" applyFont="1" applyFill="1" applyBorder="1"/>
    <xf numFmtId="0" fontId="23" fillId="0" borderId="56" xfId="0" applyFont="1" applyFill="1" applyBorder="1" applyAlignment="1">
      <alignment wrapText="1"/>
    </xf>
    <xf numFmtId="3" fontId="23" fillId="0" borderId="58" xfId="0" applyNumberFormat="1" applyFont="1" applyFill="1" applyBorder="1"/>
    <xf numFmtId="0" fontId="0" fillId="0" borderId="0" xfId="0" applyAlignment="1">
      <alignment wrapText="1"/>
    </xf>
    <xf numFmtId="3" fontId="23" fillId="0" borderId="77" xfId="0" applyNumberFormat="1" applyFont="1" applyFill="1" applyBorder="1"/>
    <xf numFmtId="0" fontId="0" fillId="29" borderId="40" xfId="52" applyFont="1" applyFill="1" applyBorder="1" applyAlignment="1">
      <alignment wrapText="1"/>
    </xf>
    <xf numFmtId="0" fontId="0" fillId="29" borderId="27" xfId="52" applyFont="1" applyFill="1" applyBorder="1" applyAlignment="1">
      <alignment wrapText="1"/>
    </xf>
    <xf numFmtId="0" fontId="0" fillId="29" borderId="34" xfId="52" applyFont="1" applyFill="1" applyBorder="1" applyAlignment="1">
      <alignment wrapText="1"/>
    </xf>
    <xf numFmtId="0" fontId="0" fillId="0" borderId="0" xfId="50" applyFont="1" applyFill="1"/>
    <xf numFmtId="0" fontId="23" fillId="0" borderId="23" xfId="88" applyFont="1" applyFill="1" applyBorder="1" applyAlignment="1">
      <alignment horizontal="left" vertical="center" wrapText="1"/>
    </xf>
    <xf numFmtId="0" fontId="28" fillId="0" borderId="23" xfId="88" applyFont="1" applyFill="1" applyBorder="1"/>
    <xf numFmtId="0" fontId="28" fillId="0" borderId="23" xfId="88" applyFont="1" applyFill="1" applyBorder="1" applyAlignment="1">
      <alignment wrapText="1"/>
    </xf>
    <xf numFmtId="0" fontId="28" fillId="0" borderId="23" xfId="88" applyFont="1" applyBorder="1" applyAlignment="1">
      <alignment wrapText="1"/>
    </xf>
    <xf numFmtId="0" fontId="0" fillId="0" borderId="23" xfId="0" applyFill="1" applyBorder="1" applyAlignment="1">
      <alignment wrapText="1"/>
    </xf>
    <xf numFmtId="0" fontId="28" fillId="0" borderId="23" xfId="0" applyFont="1" applyFill="1" applyBorder="1" applyAlignment="1">
      <alignment wrapText="1"/>
    </xf>
    <xf numFmtId="0" fontId="21" fillId="0" borderId="23" xfId="88" applyFont="1" applyFill="1" applyBorder="1"/>
    <xf numFmtId="0" fontId="28" fillId="0" borderId="0" xfId="88" applyFill="1"/>
    <xf numFmtId="3" fontId="19" fillId="0" borderId="23" xfId="0" applyNumberFormat="1" applyFont="1" applyFill="1" applyBorder="1"/>
    <xf numFmtId="3" fontId="20" fillId="0" borderId="23" xfId="88" applyNumberFormat="1" applyFont="1" applyFill="1" applyBorder="1"/>
    <xf numFmtId="3" fontId="20" fillId="0" borderId="23" xfId="51" applyNumberFormat="1" applyFont="1" applyFill="1" applyBorder="1" applyAlignment="1">
      <alignment vertical="center" wrapText="1"/>
    </xf>
    <xf numFmtId="0" fontId="19" fillId="0" borderId="23" xfId="88" applyFont="1" applyFill="1" applyBorder="1" applyAlignment="1">
      <alignment vertical="center" wrapText="1"/>
    </xf>
    <xf numFmtId="0" fontId="19" fillId="0" borderId="23" xfId="88" applyFont="1" applyFill="1" applyBorder="1" applyAlignment="1">
      <alignment vertical="center"/>
    </xf>
    <xf numFmtId="0" fontId="19" fillId="0" borderId="23" xfId="88" applyFont="1" applyFill="1" applyBorder="1" applyAlignment="1"/>
    <xf numFmtId="3" fontId="20" fillId="0" borderId="23" xfId="88" applyNumberFormat="1" applyFont="1" applyFill="1" applyBorder="1" applyAlignment="1"/>
    <xf numFmtId="0" fontId="0" fillId="0" borderId="23" xfId="0" applyFont="1" applyFill="1" applyBorder="1" applyAlignment="1">
      <alignment wrapText="1"/>
    </xf>
    <xf numFmtId="0" fontId="33" fillId="0" borderId="23" xfId="88" applyFont="1" applyFill="1" applyBorder="1"/>
    <xf numFmtId="3" fontId="22" fillId="0" borderId="23" xfId="0" applyNumberFormat="1" applyFont="1" applyFill="1" applyBorder="1"/>
    <xf numFmtId="3" fontId="20" fillId="0" borderId="23" xfId="89" applyNumberFormat="1" applyFont="1" applyBorder="1" applyAlignment="1">
      <alignment wrapText="1"/>
    </xf>
    <xf numFmtId="3" fontId="20" fillId="0" borderId="23" xfId="89" applyNumberFormat="1" applyFont="1" applyBorder="1" applyAlignment="1"/>
    <xf numFmtId="0" fontId="19" fillId="0" borderId="23" xfId="0" applyFont="1" applyFill="1" applyBorder="1" applyAlignment="1">
      <alignment horizontal="left" wrapText="1"/>
    </xf>
    <xf numFmtId="3" fontId="19" fillId="0" borderId="23" xfId="89" applyNumberFormat="1" applyFont="1" applyFill="1" applyBorder="1" applyAlignment="1"/>
    <xf numFmtId="167" fontId="19" fillId="0" borderId="23" xfId="0" applyNumberFormat="1" applyFont="1" applyBorder="1" applyAlignment="1">
      <alignment horizontal="right" wrapText="1"/>
    </xf>
    <xf numFmtId="0" fontId="19" fillId="0" borderId="23" xfId="0" applyFont="1" applyBorder="1" applyAlignment="1">
      <alignment horizontal="left" wrapText="1"/>
    </xf>
    <xf numFmtId="3" fontId="19" fillId="0" borderId="23" xfId="89" applyNumberFormat="1" applyFont="1" applyBorder="1" applyAlignment="1">
      <alignment wrapText="1"/>
    </xf>
    <xf numFmtId="0" fontId="43" fillId="0" borderId="23" xfId="89" applyFont="1" applyFill="1" applyBorder="1"/>
    <xf numFmtId="3" fontId="28" fillId="31" borderId="23" xfId="89" applyNumberFormat="1" applyFont="1" applyFill="1" applyBorder="1" applyAlignment="1"/>
    <xf numFmtId="3" fontId="43" fillId="0" borderId="23" xfId="89" applyNumberFormat="1" applyFont="1" applyFill="1" applyBorder="1"/>
    <xf numFmtId="3" fontId="20" fillId="0" borderId="0" xfId="89" applyNumberFormat="1" applyFont="1" applyBorder="1" applyAlignment="1">
      <alignment wrapText="1"/>
    </xf>
    <xf numFmtId="3" fontId="28" fillId="0" borderId="84" xfId="89" applyNumberFormat="1" applyFont="1" applyBorder="1" applyAlignment="1">
      <alignment wrapText="1"/>
    </xf>
    <xf numFmtId="3" fontId="0" fillId="0" borderId="0" xfId="89" applyNumberFormat="1" applyFont="1" applyBorder="1" applyAlignment="1">
      <alignment wrapText="1"/>
    </xf>
    <xf numFmtId="3" fontId="41" fillId="30" borderId="85" xfId="51" applyNumberFormat="1" applyFont="1" applyFill="1" applyBorder="1" applyAlignment="1">
      <alignment horizontal="right" vertical="center" wrapText="1"/>
    </xf>
    <xf numFmtId="3" fontId="19" fillId="0" borderId="0" xfId="89" applyNumberFormat="1" applyFont="1" applyBorder="1" applyAlignment="1">
      <alignment wrapText="1"/>
    </xf>
    <xf numFmtId="3" fontId="21" fillId="29" borderId="11" xfId="52" applyNumberFormat="1" applyFont="1" applyFill="1" applyBorder="1" applyAlignment="1">
      <alignment horizontal="right" wrapText="1"/>
    </xf>
    <xf numFmtId="3" fontId="21" fillId="29" borderId="14" xfId="52" applyNumberFormat="1" applyFont="1" applyFill="1" applyBorder="1" applyAlignment="1">
      <alignment horizontal="right" wrapText="1"/>
    </xf>
    <xf numFmtId="0" fontId="19" fillId="0" borderId="74" xfId="45" applyFont="1" applyBorder="1"/>
    <xf numFmtId="1" fontId="24" fillId="0" borderId="0" xfId="0" applyNumberFormat="1" applyFont="1"/>
    <xf numFmtId="3" fontId="0" fillId="0" borderId="23" xfId="45" applyNumberFormat="1" applyFont="1" applyBorder="1"/>
    <xf numFmtId="3" fontId="19" fillId="0" borderId="23" xfId="89" applyNumberFormat="1" applyFont="1" applyBorder="1" applyAlignment="1"/>
    <xf numFmtId="3" fontId="0" fillId="0" borderId="84" xfId="89" applyNumberFormat="1" applyFont="1" applyBorder="1" applyAlignment="1">
      <alignment wrapText="1"/>
    </xf>
    <xf numFmtId="0" fontId="0" fillId="0" borderId="0" xfId="44" applyFont="1" applyAlignment="1">
      <alignment wrapText="1"/>
    </xf>
    <xf numFmtId="3" fontId="19" fillId="0" borderId="26" xfId="45" applyNumberFormat="1" applyFont="1" applyFill="1" applyBorder="1"/>
    <xf numFmtId="3" fontId="44" fillId="0" borderId="23" xfId="89" applyNumberFormat="1" applyFont="1" applyFill="1" applyBorder="1"/>
    <xf numFmtId="0" fontId="0" fillId="0" borderId="23" xfId="0" applyBorder="1"/>
    <xf numFmtId="0" fontId="0" fillId="0" borderId="23" xfId="44" applyFont="1" applyBorder="1" applyAlignment="1">
      <alignment wrapText="1"/>
    </xf>
    <xf numFmtId="0" fontId="34" fillId="0" borderId="86" xfId="52" applyFont="1" applyBorder="1" applyAlignment="1">
      <alignment horizontal="center" vertical="center" wrapText="1"/>
    </xf>
    <xf numFmtId="3" fontId="23" fillId="0" borderId="87" xfId="52" applyNumberFormat="1" applyFont="1" applyBorder="1"/>
    <xf numFmtId="3" fontId="24" fillId="0" borderId="87" xfId="52" applyNumberFormat="1" applyFont="1" applyBorder="1"/>
    <xf numFmtId="0" fontId="19" fillId="0" borderId="0" xfId="0" applyFont="1" applyBorder="1"/>
    <xf numFmtId="0" fontId="19" fillId="0" borderId="0" xfId="87" applyFont="1" applyBorder="1"/>
    <xf numFmtId="0" fontId="19" fillId="0" borderId="0" xfId="44" applyFont="1" applyBorder="1"/>
    <xf numFmtId="0" fontId="20" fillId="0" borderId="0" xfId="44" applyFont="1" applyBorder="1"/>
    <xf numFmtId="0" fontId="19" fillId="0" borderId="24" xfId="45" applyFont="1" applyBorder="1"/>
    <xf numFmtId="0" fontId="19" fillId="0" borderId="24" xfId="45" applyFont="1" applyBorder="1" applyAlignment="1">
      <alignment wrapText="1"/>
    </xf>
    <xf numFmtId="0" fontId="20" fillId="0" borderId="24" xfId="45" applyFont="1" applyBorder="1"/>
    <xf numFmtId="0" fontId="19" fillId="0" borderId="24" xfId="45" applyNumberFormat="1" applyFont="1" applyBorder="1" applyAlignment="1">
      <alignment wrapText="1"/>
    </xf>
    <xf numFmtId="0" fontId="19" fillId="0" borderId="74" xfId="45" applyNumberFormat="1" applyFont="1" applyBorder="1" applyAlignment="1">
      <alignment wrapText="1"/>
    </xf>
    <xf numFmtId="3" fontId="21" fillId="29" borderId="72" xfId="52" applyNumberFormat="1" applyFont="1" applyFill="1" applyBorder="1" applyAlignment="1">
      <alignment horizontal="right" wrapText="1"/>
    </xf>
    <xf numFmtId="3" fontId="28" fillId="29" borderId="16" xfId="52" applyNumberFormat="1" applyFont="1" applyFill="1" applyBorder="1" applyAlignment="1">
      <alignment horizontal="right" wrapText="1"/>
    </xf>
    <xf numFmtId="3" fontId="28" fillId="29" borderId="11" xfId="52" applyNumberFormat="1" applyFont="1" applyFill="1" applyBorder="1" applyAlignment="1">
      <alignment horizontal="right" wrapText="1"/>
    </xf>
    <xf numFmtId="3" fontId="21" fillId="29" borderId="18" xfId="52" applyNumberFormat="1" applyFont="1" applyFill="1" applyBorder="1" applyAlignment="1">
      <alignment horizontal="right" wrapText="1"/>
    </xf>
    <xf numFmtId="3" fontId="21" fillId="29" borderId="24" xfId="52" applyNumberFormat="1" applyFont="1" applyFill="1" applyBorder="1" applyAlignment="1">
      <alignment horizontal="right" wrapText="1"/>
    </xf>
    <xf numFmtId="3" fontId="28" fillId="29" borderId="87" xfId="52" applyNumberFormat="1" applyFont="1" applyFill="1" applyBorder="1" applyAlignment="1">
      <alignment horizontal="right" wrapText="1"/>
    </xf>
    <xf numFmtId="3" fontId="21" fillId="29" borderId="74" xfId="52" applyNumberFormat="1" applyFont="1" applyFill="1" applyBorder="1" applyAlignment="1">
      <alignment horizontal="right" wrapText="1"/>
    </xf>
    <xf numFmtId="3" fontId="28" fillId="29" borderId="24" xfId="52" applyNumberFormat="1" applyFont="1" applyFill="1" applyBorder="1" applyAlignment="1">
      <alignment horizontal="right" wrapText="1"/>
    </xf>
    <xf numFmtId="0" fontId="28" fillId="0" borderId="88" xfId="52" applyFont="1" applyBorder="1"/>
    <xf numFmtId="3" fontId="21" fillId="29" borderId="89" xfId="52" applyNumberFormat="1" applyFont="1" applyFill="1" applyBorder="1" applyAlignment="1">
      <alignment horizontal="right" wrapText="1"/>
    </xf>
    <xf numFmtId="0" fontId="34" fillId="0" borderId="85" xfId="52" applyFont="1" applyBorder="1" applyAlignment="1">
      <alignment horizontal="center" vertical="center" wrapText="1"/>
    </xf>
    <xf numFmtId="0" fontId="28" fillId="0" borderId="23" xfId="52" applyFont="1" applyBorder="1"/>
    <xf numFmtId="3" fontId="20" fillId="0" borderId="24" xfId="89" applyNumberFormat="1" applyFont="1" applyBorder="1" applyAlignment="1"/>
    <xf numFmtId="3" fontId="19" fillId="0" borderId="24" xfId="89" applyNumberFormat="1" applyFont="1" applyBorder="1" applyAlignment="1"/>
    <xf numFmtId="3" fontId="19" fillId="0" borderId="24" xfId="89" applyNumberFormat="1" applyFont="1" applyFill="1" applyBorder="1" applyAlignment="1"/>
    <xf numFmtId="3" fontId="28" fillId="31" borderId="24" xfId="89" applyNumberFormat="1" applyFont="1" applyFill="1" applyBorder="1" applyAlignment="1"/>
    <xf numFmtId="3" fontId="44" fillId="0" borderId="24" xfId="89" applyNumberFormat="1" applyFont="1" applyFill="1" applyBorder="1"/>
    <xf numFmtId="3" fontId="43" fillId="0" borderId="24" xfId="89" applyNumberFormat="1" applyFont="1" applyFill="1" applyBorder="1"/>
    <xf numFmtId="3" fontId="20" fillId="0" borderId="81" xfId="89" applyNumberFormat="1" applyFont="1" applyBorder="1" applyAlignment="1"/>
    <xf numFmtId="3" fontId="28" fillId="0" borderId="24" xfId="0" applyNumberFormat="1" applyFont="1" applyBorder="1" applyAlignment="1">
      <alignment horizontal="right" wrapText="1"/>
    </xf>
    <xf numFmtId="0" fontId="28" fillId="0" borderId="23" xfId="44" applyFont="1" applyBorder="1"/>
    <xf numFmtId="3" fontId="23" fillId="0" borderId="23" xfId="89" applyNumberFormat="1" applyFont="1" applyBorder="1" applyAlignment="1"/>
    <xf numFmtId="0" fontId="19" fillId="0" borderId="0" xfId="0" applyFont="1" applyBorder="1" applyAlignment="1">
      <alignment wrapText="1"/>
    </xf>
    <xf numFmtId="0" fontId="20" fillId="0" borderId="0" xfId="44" applyFont="1" applyBorder="1" applyAlignment="1">
      <alignment wrapText="1"/>
    </xf>
    <xf numFmtId="3" fontId="20" fillId="0" borderId="0" xfId="44" applyNumberFormat="1" applyFont="1" applyBorder="1"/>
    <xf numFmtId="3" fontId="19" fillId="0" borderId="0" xfId="44" applyNumberFormat="1" applyFont="1" applyBorder="1"/>
    <xf numFmtId="0" fontId="20" fillId="0" borderId="0" xfId="52" applyFont="1" applyBorder="1" applyAlignment="1">
      <alignment horizontal="center" vertical="center" wrapText="1"/>
    </xf>
    <xf numFmtId="0" fontId="19" fillId="0" borderId="0" xfId="87" applyFont="1" applyBorder="1" applyAlignment="1">
      <alignment wrapText="1"/>
    </xf>
    <xf numFmtId="0" fontId="20" fillId="0" borderId="0" xfId="87" applyFont="1" applyBorder="1" applyAlignment="1">
      <alignment wrapText="1"/>
    </xf>
    <xf numFmtId="3" fontId="20" fillId="0" borderId="0" xfId="87" applyNumberFormat="1" applyFont="1" applyBorder="1"/>
    <xf numFmtId="3" fontId="21" fillId="0" borderId="53" xfId="89" applyNumberFormat="1" applyFont="1" applyBorder="1" applyAlignment="1">
      <alignment wrapText="1"/>
    </xf>
    <xf numFmtId="3" fontId="21" fillId="0" borderId="67" xfId="89" applyNumberFormat="1" applyFont="1" applyBorder="1" applyAlignment="1"/>
    <xf numFmtId="3" fontId="21" fillId="0" borderId="90" xfId="89" applyNumberFormat="1" applyFont="1" applyBorder="1" applyAlignment="1"/>
    <xf numFmtId="3" fontId="23" fillId="0" borderId="23" xfId="89" applyNumberFormat="1" applyFont="1" applyBorder="1" applyAlignment="1">
      <alignment wrapText="1"/>
    </xf>
    <xf numFmtId="3" fontId="21" fillId="29" borderId="67" xfId="52" applyNumberFormat="1" applyFont="1" applyFill="1" applyBorder="1" applyAlignment="1">
      <alignment horizontal="right" wrapText="1"/>
    </xf>
    <xf numFmtId="3" fontId="28" fillId="29" borderId="68" xfId="52" applyNumberFormat="1" applyFont="1" applyFill="1" applyBorder="1" applyAlignment="1">
      <alignment horizontal="right" wrapText="1"/>
    </xf>
    <xf numFmtId="3" fontId="28" fillId="29" borderId="77" xfId="52" applyNumberFormat="1" applyFont="1" applyFill="1" applyBorder="1" applyAlignment="1">
      <alignment horizontal="right" wrapText="1"/>
    </xf>
    <xf numFmtId="3" fontId="28" fillId="29" borderId="67" xfId="52" applyNumberFormat="1" applyFont="1" applyFill="1" applyBorder="1" applyAlignment="1">
      <alignment horizontal="right" wrapText="1"/>
    </xf>
    <xf numFmtId="3" fontId="21" fillId="29" borderId="16" xfId="52" applyNumberFormat="1" applyFont="1" applyFill="1" applyBorder="1" applyAlignment="1">
      <alignment horizontal="right" wrapText="1"/>
    </xf>
    <xf numFmtId="3" fontId="21" fillId="29" borderId="77" xfId="52" applyNumberFormat="1" applyFont="1" applyFill="1" applyBorder="1" applyAlignment="1">
      <alignment horizontal="right" wrapText="1"/>
    </xf>
    <xf numFmtId="3" fontId="0" fillId="0" borderId="32" xfId="89" applyNumberFormat="1" applyFont="1" applyBorder="1" applyAlignment="1">
      <alignment wrapText="1"/>
    </xf>
    <xf numFmtId="3" fontId="20" fillId="0" borderId="78" xfId="89" applyNumberFormat="1" applyFont="1" applyBorder="1" applyAlignment="1"/>
    <xf numFmtId="3" fontId="28" fillId="29" borderId="74" xfId="52" applyNumberFormat="1" applyFont="1" applyFill="1" applyBorder="1" applyAlignment="1">
      <alignment horizontal="right" wrapText="1"/>
    </xf>
    <xf numFmtId="0" fontId="28" fillId="0" borderId="24" xfId="52" applyFont="1" applyBorder="1"/>
    <xf numFmtId="0" fontId="21" fillId="29" borderId="64" xfId="52" applyFont="1" applyFill="1" applyBorder="1" applyAlignment="1">
      <alignment horizontal="center" vertical="center" wrapText="1"/>
    </xf>
    <xf numFmtId="0" fontId="21" fillId="29" borderId="13" xfId="52" applyFont="1" applyFill="1" applyBorder="1" applyAlignment="1">
      <alignment horizontal="center" vertical="center" wrapText="1"/>
    </xf>
    <xf numFmtId="0" fontId="20" fillId="0" borderId="63" xfId="46" applyFont="1" applyFill="1" applyBorder="1" applyAlignment="1">
      <alignment horizontal="center" vertical="center"/>
    </xf>
    <xf numFmtId="0" fontId="20" fillId="0" borderId="26" xfId="46" applyFont="1" applyFill="1" applyBorder="1" applyAlignment="1">
      <alignment horizontal="center" vertical="center"/>
    </xf>
    <xf numFmtId="0" fontId="20" fillId="0" borderId="69" xfId="46" applyFont="1" applyBorder="1" applyAlignment="1">
      <alignment horizontal="center" vertical="center"/>
    </xf>
    <xf numFmtId="0" fontId="20" fillId="0" borderId="23" xfId="46" applyFont="1" applyBorder="1" applyAlignment="1">
      <alignment horizontal="center" vertical="center"/>
    </xf>
    <xf numFmtId="0" fontId="20" fillId="0" borderId="69" xfId="46" applyFont="1" applyFill="1" applyBorder="1" applyAlignment="1">
      <alignment horizontal="center" vertical="center"/>
    </xf>
    <xf numFmtId="0" fontId="20" fillId="0" borderId="23" xfId="46" applyFont="1" applyFill="1" applyBorder="1" applyAlignment="1">
      <alignment horizontal="center" vertical="center"/>
    </xf>
    <xf numFmtId="0" fontId="20" fillId="29" borderId="69" xfId="46" applyFont="1" applyFill="1" applyBorder="1" applyAlignment="1">
      <alignment horizontal="center" vertical="center"/>
    </xf>
    <xf numFmtId="0" fontId="20" fillId="29" borderId="23" xfId="46" applyFont="1" applyFill="1" applyBorder="1" applyAlignment="1">
      <alignment horizontal="center" vertical="center"/>
    </xf>
    <xf numFmtId="0" fontId="20" fillId="29" borderId="70" xfId="46" applyFont="1" applyFill="1" applyBorder="1" applyAlignment="1">
      <alignment horizontal="center" vertical="center"/>
    </xf>
    <xf numFmtId="0" fontId="20" fillId="29" borderId="42" xfId="46" applyFont="1" applyFill="1" applyBorder="1" applyAlignment="1">
      <alignment horizontal="center" vertical="center"/>
    </xf>
    <xf numFmtId="0" fontId="20" fillId="0" borderId="0" xfId="44" applyFont="1" applyBorder="1" applyAlignment="1">
      <alignment horizontal="center" wrapText="1"/>
    </xf>
    <xf numFmtId="0" fontId="23" fillId="0" borderId="0" xfId="45" applyFont="1" applyBorder="1" applyAlignment="1">
      <alignment horizontal="center"/>
    </xf>
    <xf numFmtId="0" fontId="23" fillId="0" borderId="0" xfId="49" applyFont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  <xf numFmtId="3" fontId="21" fillId="29" borderId="91" xfId="52" applyNumberFormat="1" applyFont="1" applyFill="1" applyBorder="1" applyAlignment="1">
      <alignment horizontal="right" wrapText="1"/>
    </xf>
    <xf numFmtId="3" fontId="21" fillId="29" borderId="87" xfId="52" applyNumberFormat="1" applyFont="1" applyFill="1" applyBorder="1" applyAlignment="1">
      <alignment horizontal="right" wrapText="1"/>
    </xf>
    <xf numFmtId="3" fontId="21" fillId="29" borderId="19" xfId="52" applyNumberFormat="1" applyFont="1" applyFill="1" applyBorder="1" applyAlignment="1">
      <alignment horizontal="right" wrapText="1"/>
    </xf>
    <xf numFmtId="3" fontId="21" fillId="29" borderId="92" xfId="52" applyNumberFormat="1" applyFont="1" applyFill="1" applyBorder="1" applyAlignment="1">
      <alignment horizontal="right" wrapText="1"/>
    </xf>
    <xf numFmtId="0" fontId="34" fillId="0" borderId="80" xfId="52" applyFont="1" applyBorder="1" applyAlignment="1">
      <alignment horizontal="center" vertical="center" wrapText="1"/>
    </xf>
  </cellXfs>
  <cellStyles count="9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" xfId="26" builtinId="20" customBuiltin="1"/>
    <cellStyle name="Calculation" xfId="27"/>
    <cellStyle name="Check Cell" xfId="28"/>
    <cellStyle name="Cím" xfId="2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xplanatory Text" xfId="34"/>
    <cellStyle name="Ezres 2" xfId="35"/>
    <cellStyle name="Ezres 3" xfId="86"/>
    <cellStyle name="Figyelmeztetés" xfId="36" builtinId="11" customBuiltin="1"/>
    <cellStyle name="Good" xfId="37"/>
    <cellStyle name="Heading 1" xfId="73"/>
    <cellStyle name="Heading 2" xfId="74"/>
    <cellStyle name="Heading 3" xfId="75"/>
    <cellStyle name="Heading 4" xfId="76"/>
    <cellStyle name="Hivatkozott cella" xfId="38" builtinId="24" customBuiltin="1"/>
    <cellStyle name="Input" xfId="77"/>
    <cellStyle name="Jegyzet" xfId="39" builtinId="10" customBuiltin="1"/>
    <cellStyle name="Kimenet" xfId="40" builtinId="21" customBuiltin="1"/>
    <cellStyle name="Linked Cell" xfId="78"/>
    <cellStyle name="Neutral" xfId="41"/>
    <cellStyle name="Normál" xfId="0" builtinId="0"/>
    <cellStyle name="Normál 2" xfId="42"/>
    <cellStyle name="Normál_2007_Koncepció táblák" xfId="89"/>
    <cellStyle name="Normál_2007_Koncepció táblák_2013. évi költségvetés I." xfId="43"/>
    <cellStyle name="Normál_2012. évi költségvetés IV. módosítás" xfId="44"/>
    <cellStyle name="Normál_2013. évi költségvetés I." xfId="45"/>
    <cellStyle name="Normál_2013. évi költségvetés I._2013. évi költségvetés előirányzat nyilvántartás" xfId="46"/>
    <cellStyle name="Normál_2013. évi költségvetés I._2013. évi költségvetés II. forduló testületi előterjesztés" xfId="47"/>
    <cellStyle name="Normál_2013. évi költségvetés I._iNTÉZMÉNYI NORMATÍVA 2014" xfId="48"/>
    <cellStyle name="Normál_2013. évi költségvetés II. forduló testületi előterjesztés" xfId="49"/>
    <cellStyle name="Normál_2014. évi kv. 6. tábla_kitöltve_szűkített II.fordulóhoz 2" xfId="87"/>
    <cellStyle name="Normal_KARSZJ3" xfId="79"/>
    <cellStyle name="Normál_költségvetés10melléklet" xfId="88"/>
    <cellStyle name="Normál_költségvetés10melléklet_2013. évi költségvetés I." xfId="50"/>
    <cellStyle name="Normal_KTRSZJ" xfId="80"/>
    <cellStyle name="Normál_Másolat eredetijeKÖLTSÉGVETÉS2005új1" xfId="51"/>
    <cellStyle name="Normál_Másolat eredetijeKÖLTSÉGVETÉS2005új1_2013. évi költségvetés I." xfId="52"/>
    <cellStyle name="Normál_Másolat eredetijeKÖLTSÉGVETÉS2005új1_2013. évi költségvetés II. forduló testületi előterjesztés" xfId="53"/>
    <cellStyle name="Note" xfId="81"/>
    <cellStyle name="Output" xfId="82"/>
    <cellStyle name="Összesen" xfId="54" builtinId="25" customBuiltin="1"/>
    <cellStyle name="Title" xfId="83"/>
    <cellStyle name="Total" xfId="84"/>
    <cellStyle name="Warning Tex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P38"/>
  <sheetViews>
    <sheetView view="pageLayout" topLeftCell="A12" zoomScaleNormal="75" zoomScaleSheetLayoutView="89" workbookViewId="0">
      <selection activeCell="G11" sqref="G11"/>
    </sheetView>
  </sheetViews>
  <sheetFormatPr defaultColWidth="9.140625" defaultRowHeight="12.75" x14ac:dyDescent="0.2"/>
  <cols>
    <col min="1" max="1" width="40.42578125" style="72" customWidth="1"/>
    <col min="2" max="2" width="17" style="63" bestFit="1" customWidth="1"/>
    <col min="3" max="6" width="10.7109375" style="63" bestFit="1" customWidth="1"/>
    <col min="7" max="7" width="10.7109375" style="63" customWidth="1"/>
    <col min="8" max="8" width="13.28515625" style="63" customWidth="1"/>
    <col min="9" max="9" width="20.42578125" style="63" customWidth="1"/>
    <col min="10" max="16384" width="9.140625" style="63"/>
  </cols>
  <sheetData>
    <row r="1" spans="1:9" ht="16.5" hidden="1" thickBot="1" x14ac:dyDescent="0.3">
      <c r="A1" s="62"/>
    </row>
    <row r="2" spans="1:9" ht="16.5" hidden="1" thickBot="1" x14ac:dyDescent="0.3">
      <c r="A2" s="62"/>
    </row>
    <row r="3" spans="1:9" s="64" customFormat="1" ht="56.25" customHeight="1" thickBot="1" x14ac:dyDescent="0.25">
      <c r="A3" s="233" t="s">
        <v>241</v>
      </c>
      <c r="B3" s="193" t="s">
        <v>391</v>
      </c>
      <c r="C3" s="194" t="s">
        <v>392</v>
      </c>
      <c r="D3" s="430" t="s">
        <v>409</v>
      </c>
      <c r="E3" s="430" t="s">
        <v>416</v>
      </c>
      <c r="F3" s="430" t="s">
        <v>420</v>
      </c>
      <c r="G3" s="430" t="s">
        <v>424</v>
      </c>
      <c r="H3" s="193" t="s">
        <v>393</v>
      </c>
    </row>
    <row r="4" spans="1:9" ht="30" x14ac:dyDescent="0.2">
      <c r="A4" s="231" t="s">
        <v>4</v>
      </c>
      <c r="B4" s="232">
        <f>'2.sz.tábla'!B5</f>
        <v>30098</v>
      </c>
      <c r="C4" s="232">
        <f>'2.sz.tábla'!C5</f>
        <v>31401</v>
      </c>
      <c r="D4" s="232">
        <f>'2.sz.tábla'!D5</f>
        <v>31769</v>
      </c>
      <c r="E4" s="232">
        <f>'2.sz.tábla'!E5</f>
        <v>31769</v>
      </c>
      <c r="F4" s="232">
        <f>'2.sz.tábla'!F5</f>
        <v>33030</v>
      </c>
      <c r="G4" s="232">
        <f>'2.sz.tábla'!G5</f>
        <v>33030</v>
      </c>
      <c r="H4" s="232">
        <f>G4-F4</f>
        <v>0</v>
      </c>
    </row>
    <row r="5" spans="1:9" ht="30" x14ac:dyDescent="0.2">
      <c r="A5" s="184" t="s">
        <v>5</v>
      </c>
      <c r="B5" s="185">
        <f>'2.sz.tábla'!B20</f>
        <v>0</v>
      </c>
      <c r="C5" s="185">
        <f>'2.sz.tábla'!C20</f>
        <v>0</v>
      </c>
      <c r="D5" s="185">
        <f>'2.sz.tábla'!D20</f>
        <v>12750</v>
      </c>
      <c r="E5" s="185">
        <f>'2.sz.tábla'!E20</f>
        <v>12750</v>
      </c>
      <c r="F5" s="185">
        <f>'2.sz.tábla'!F20</f>
        <v>22516</v>
      </c>
      <c r="G5" s="185">
        <f>'2.sz.tábla'!G20</f>
        <v>22516</v>
      </c>
      <c r="H5" s="232">
        <f t="shared" ref="H5:H35" si="0">G5-F5</f>
        <v>0</v>
      </c>
    </row>
    <row r="6" spans="1:9" ht="21.75" customHeight="1" x14ac:dyDescent="0.2">
      <c r="A6" s="184" t="s">
        <v>6</v>
      </c>
      <c r="B6" s="185">
        <f>'2.sz.tábla'!B32</f>
        <v>20450</v>
      </c>
      <c r="C6" s="185">
        <f>'2.sz.tábla'!C32</f>
        <v>20450</v>
      </c>
      <c r="D6" s="185">
        <f>'2.sz.tábla'!D32</f>
        <v>20450</v>
      </c>
      <c r="E6" s="185">
        <f>'2.sz.tábla'!E32</f>
        <v>20450</v>
      </c>
      <c r="F6" s="185">
        <f>'2.sz.tábla'!F32</f>
        <v>24399</v>
      </c>
      <c r="G6" s="185">
        <f>'2.sz.tábla'!G32</f>
        <v>24429</v>
      </c>
      <c r="H6" s="232">
        <f t="shared" si="0"/>
        <v>30</v>
      </c>
    </row>
    <row r="7" spans="1:9" ht="30" customHeight="1" x14ac:dyDescent="0.2">
      <c r="A7" s="184" t="s">
        <v>7</v>
      </c>
      <c r="B7" s="185">
        <f>'2.sz.tábla'!B46</f>
        <v>6600</v>
      </c>
      <c r="C7" s="185">
        <f>'2.sz.tábla'!C46</f>
        <v>6600</v>
      </c>
      <c r="D7" s="185">
        <f>'2.sz.tábla'!D46</f>
        <v>8200</v>
      </c>
      <c r="E7" s="185">
        <f>'2.sz.tábla'!E46</f>
        <v>8200</v>
      </c>
      <c r="F7" s="185">
        <f>'2.sz.tábla'!F46</f>
        <v>9497</v>
      </c>
      <c r="G7" s="185">
        <f>'2.sz.tábla'!G46</f>
        <v>9722</v>
      </c>
      <c r="H7" s="232">
        <f t="shared" si="0"/>
        <v>225</v>
      </c>
    </row>
    <row r="8" spans="1:9" ht="30.75" customHeight="1" x14ac:dyDescent="0.2">
      <c r="A8" s="184" t="s">
        <v>8</v>
      </c>
      <c r="B8" s="185">
        <f>'2.sz.tábla'!B59</f>
        <v>5000</v>
      </c>
      <c r="C8" s="185">
        <f>'2.sz.tábla'!C59</f>
        <v>5000</v>
      </c>
      <c r="D8" s="185">
        <f>'2.sz.tábla'!D59</f>
        <v>5000</v>
      </c>
      <c r="E8" s="185">
        <f>'2.sz.tábla'!E59</f>
        <v>5000</v>
      </c>
      <c r="F8" s="185">
        <f>'2.sz.tábla'!F59</f>
        <v>0</v>
      </c>
      <c r="G8" s="185">
        <f>'2.sz.tábla'!G59</f>
        <v>0</v>
      </c>
      <c r="H8" s="232">
        <f t="shared" si="0"/>
        <v>0</v>
      </c>
    </row>
    <row r="9" spans="1:9" ht="27" customHeight="1" x14ac:dyDescent="0.2">
      <c r="A9" s="186" t="s">
        <v>9</v>
      </c>
      <c r="B9" s="185">
        <f>'2.sz.tábla'!B65</f>
        <v>0</v>
      </c>
      <c r="C9" s="185">
        <f>'2.sz.tábla'!C65</f>
        <v>0</v>
      </c>
      <c r="D9" s="185">
        <f>'2.sz.tábla'!D65</f>
        <v>0</v>
      </c>
      <c r="E9" s="185">
        <f>'2.sz.tábla'!E65</f>
        <v>0</v>
      </c>
      <c r="F9" s="185">
        <f>'2.sz.tábla'!F65</f>
        <v>20</v>
      </c>
      <c r="G9" s="185">
        <f>'2.sz.tábla'!G65</f>
        <v>20</v>
      </c>
      <c r="H9" s="232">
        <f t="shared" si="0"/>
        <v>0</v>
      </c>
    </row>
    <row r="10" spans="1:9" ht="35.25" customHeight="1" x14ac:dyDescent="0.2">
      <c r="A10" s="186" t="s">
        <v>10</v>
      </c>
      <c r="B10" s="185">
        <f>'2.sz.tábla'!B71</f>
        <v>0</v>
      </c>
      <c r="C10" s="185">
        <f>'2.sz.tábla'!C71</f>
        <v>0</v>
      </c>
      <c r="D10" s="185">
        <f>'2.sz.tábla'!D71</f>
        <v>1915</v>
      </c>
      <c r="E10" s="185">
        <f>'2.sz.tábla'!E71</f>
        <v>1915</v>
      </c>
      <c r="F10" s="185">
        <f>'2.sz.tábla'!F71</f>
        <v>1915</v>
      </c>
      <c r="G10" s="185">
        <f>'2.sz.tábla'!G71</f>
        <v>1915</v>
      </c>
      <c r="H10" s="232">
        <f t="shared" si="0"/>
        <v>0</v>
      </c>
      <c r="I10" s="119"/>
    </row>
    <row r="11" spans="1:9" s="67" customFormat="1" ht="24" customHeight="1" x14ac:dyDescent="0.25">
      <c r="A11" s="187" t="s">
        <v>11</v>
      </c>
      <c r="B11" s="204">
        <f>SUM(B4:B10)</f>
        <v>62148</v>
      </c>
      <c r="C11" s="204">
        <f t="shared" ref="C11:G11" si="1">SUM(C4:C10)</f>
        <v>63451</v>
      </c>
      <c r="D11" s="204">
        <f t="shared" si="1"/>
        <v>80084</v>
      </c>
      <c r="E11" s="204">
        <f t="shared" si="1"/>
        <v>80084</v>
      </c>
      <c r="F11" s="204">
        <f t="shared" si="1"/>
        <v>91377</v>
      </c>
      <c r="G11" s="204">
        <f t="shared" si="1"/>
        <v>91632</v>
      </c>
      <c r="H11" s="232">
        <f t="shared" si="0"/>
        <v>255</v>
      </c>
      <c r="I11" s="87"/>
    </row>
    <row r="12" spans="1:9" s="67" customFormat="1" ht="24" customHeight="1" x14ac:dyDescent="0.25">
      <c r="A12" s="189" t="s">
        <v>12</v>
      </c>
      <c r="B12" s="204"/>
      <c r="C12" s="206"/>
      <c r="D12" s="431"/>
      <c r="E12" s="431"/>
      <c r="F12" s="431"/>
      <c r="G12" s="431"/>
      <c r="H12" s="232">
        <f t="shared" si="0"/>
        <v>0</v>
      </c>
    </row>
    <row r="13" spans="1:9" ht="48.75" customHeight="1" x14ac:dyDescent="0.2">
      <c r="A13" s="184" t="s">
        <v>248</v>
      </c>
      <c r="B13" s="185">
        <f>'2.sz.tábla'!B78</f>
        <v>5000</v>
      </c>
      <c r="C13" s="185">
        <f>'2.sz.tábla'!C78</f>
        <v>5000</v>
      </c>
      <c r="D13" s="185">
        <f>'2.sz.tábla'!D78</f>
        <v>5474</v>
      </c>
      <c r="E13" s="185">
        <f>'2.sz.tábla'!E78</f>
        <v>5474</v>
      </c>
      <c r="F13" s="185">
        <f>'2.sz.tábla'!F78</f>
        <v>5474</v>
      </c>
      <c r="G13" s="185">
        <f>'2.sz.tábla'!G78</f>
        <v>5474</v>
      </c>
      <c r="H13" s="232">
        <f t="shared" si="0"/>
        <v>0</v>
      </c>
    </row>
    <row r="14" spans="1:9" ht="48.75" customHeight="1" x14ac:dyDescent="0.2">
      <c r="A14" s="184" t="s">
        <v>13</v>
      </c>
      <c r="B14" s="185">
        <f>'2.sz.tábla'!B81</f>
        <v>25380</v>
      </c>
      <c r="C14" s="185">
        <f>'2.sz.tábla'!C81</f>
        <v>25799</v>
      </c>
      <c r="D14" s="185">
        <f>'2.sz.tábla'!D81</f>
        <v>25799</v>
      </c>
      <c r="E14" s="185">
        <f>'2.sz.tábla'!E81</f>
        <v>25799</v>
      </c>
      <c r="F14" s="185">
        <f>'2.sz.tábla'!F81</f>
        <v>25799</v>
      </c>
      <c r="G14" s="185">
        <f>'2.sz.tábla'!G81</f>
        <v>26501</v>
      </c>
      <c r="H14" s="232">
        <f t="shared" si="0"/>
        <v>702</v>
      </c>
    </row>
    <row r="15" spans="1:9" s="67" customFormat="1" ht="33" customHeight="1" x14ac:dyDescent="0.25">
      <c r="A15" s="187" t="s">
        <v>14</v>
      </c>
      <c r="B15" s="188">
        <f>B13+B14</f>
        <v>30380</v>
      </c>
      <c r="C15" s="182">
        <f>C13+C14</f>
        <v>30799</v>
      </c>
      <c r="D15" s="182">
        <f>D13+D14</f>
        <v>31273</v>
      </c>
      <c r="E15" s="182">
        <f>E13+E14</f>
        <v>31273</v>
      </c>
      <c r="F15" s="182">
        <f>F13+F14</f>
        <v>31273</v>
      </c>
      <c r="G15" s="182">
        <f>G13+G14</f>
        <v>31975</v>
      </c>
      <c r="H15" s="232">
        <f t="shared" si="0"/>
        <v>702</v>
      </c>
    </row>
    <row r="16" spans="1:9" s="67" customFormat="1" ht="18" customHeight="1" x14ac:dyDescent="0.25">
      <c r="A16" s="190" t="s">
        <v>15</v>
      </c>
      <c r="B16" s="191">
        <f>B11+B15</f>
        <v>92528</v>
      </c>
      <c r="C16" s="183">
        <f>C11+C15</f>
        <v>94250</v>
      </c>
      <c r="D16" s="183">
        <f>D11+D15</f>
        <v>111357</v>
      </c>
      <c r="E16" s="183">
        <f>E11+E15</f>
        <v>111357</v>
      </c>
      <c r="F16" s="183">
        <f>F11+F15</f>
        <v>122650</v>
      </c>
      <c r="G16" s="183">
        <f>G11+G15</f>
        <v>123607</v>
      </c>
      <c r="H16" s="232">
        <f t="shared" si="0"/>
        <v>957</v>
      </c>
      <c r="I16" s="87"/>
    </row>
    <row r="17" spans="1:16" s="67" customFormat="1" ht="14.25" customHeight="1" x14ac:dyDescent="0.25">
      <c r="A17" s="190"/>
      <c r="B17" s="204"/>
      <c r="C17" s="206"/>
      <c r="D17" s="431"/>
      <c r="E17" s="431"/>
      <c r="F17" s="431"/>
      <c r="G17" s="431"/>
      <c r="H17" s="232">
        <f t="shared" si="0"/>
        <v>0</v>
      </c>
      <c r="I17" s="66"/>
      <c r="J17" s="66"/>
      <c r="K17" s="66"/>
      <c r="L17" s="66"/>
      <c r="M17" s="66"/>
      <c r="N17" s="66"/>
      <c r="O17" s="66"/>
      <c r="P17" s="66"/>
    </row>
    <row r="18" spans="1:16" s="69" customFormat="1" ht="20.100000000000001" customHeight="1" x14ac:dyDescent="0.25">
      <c r="A18" s="187" t="s">
        <v>16</v>
      </c>
      <c r="B18" s="188">
        <f>SUM(B19:B22)</f>
        <v>56163</v>
      </c>
      <c r="C18" s="182">
        <f>SUM(C19:C22)</f>
        <v>57570</v>
      </c>
      <c r="D18" s="182">
        <f>SUM(D19:D22)</f>
        <v>58661</v>
      </c>
      <c r="E18" s="182">
        <f>SUM(E19:E22)</f>
        <v>59673</v>
      </c>
      <c r="F18" s="182">
        <f>SUM(F19:F22)</f>
        <v>62450</v>
      </c>
      <c r="G18" s="182">
        <f>SUM(G19:G22)</f>
        <v>62450</v>
      </c>
      <c r="H18" s="232">
        <f>G18-F18</f>
        <v>0</v>
      </c>
      <c r="I18" s="68"/>
      <c r="J18" s="68"/>
      <c r="K18" s="68"/>
      <c r="L18" s="68"/>
      <c r="M18" s="68"/>
      <c r="N18" s="68"/>
      <c r="O18" s="68"/>
      <c r="P18" s="68"/>
    </row>
    <row r="19" spans="1:16" s="69" customFormat="1" ht="20.100000000000001" customHeight="1" x14ac:dyDescent="0.2">
      <c r="A19" s="184" t="s">
        <v>17</v>
      </c>
      <c r="B19" s="185">
        <f>'3.tábla'!B50</f>
        <v>56163</v>
      </c>
      <c r="C19" s="185">
        <f>'3.tábla'!C50</f>
        <v>57570</v>
      </c>
      <c r="D19" s="185">
        <f>'3.tábla'!D50</f>
        <v>58661</v>
      </c>
      <c r="E19" s="185">
        <f>'3.tábla'!E50</f>
        <v>59673</v>
      </c>
      <c r="F19" s="185">
        <f>'3.tábla'!F50</f>
        <v>62450</v>
      </c>
      <c r="G19" s="185">
        <f>'3.tábla'!G50</f>
        <v>62450</v>
      </c>
      <c r="H19" s="232">
        <f t="shared" si="0"/>
        <v>0</v>
      </c>
      <c r="I19" s="68"/>
      <c r="J19" s="68"/>
      <c r="K19" s="68"/>
      <c r="L19" s="68"/>
      <c r="M19" s="68"/>
      <c r="N19" s="68"/>
      <c r="O19" s="68"/>
      <c r="P19" s="68"/>
    </row>
    <row r="20" spans="1:16" s="69" customFormat="1" ht="20.100000000000001" customHeight="1" x14ac:dyDescent="0.2">
      <c r="A20" s="184"/>
      <c r="B20" s="185"/>
      <c r="C20" s="205"/>
      <c r="D20" s="432"/>
      <c r="E20" s="432"/>
      <c r="F20" s="432"/>
      <c r="G20" s="432"/>
      <c r="H20" s="232">
        <f t="shared" si="0"/>
        <v>0</v>
      </c>
      <c r="I20" s="68"/>
      <c r="J20" s="68"/>
      <c r="K20" s="68"/>
      <c r="L20" s="68"/>
      <c r="M20" s="68"/>
      <c r="N20" s="68"/>
      <c r="O20" s="68"/>
      <c r="P20" s="68"/>
    </row>
    <row r="21" spans="1:16" s="67" customFormat="1" ht="20.100000000000001" customHeight="1" x14ac:dyDescent="0.2">
      <c r="A21" s="184"/>
      <c r="B21" s="185"/>
      <c r="C21" s="205"/>
      <c r="D21" s="432"/>
      <c r="E21" s="432"/>
      <c r="F21" s="432"/>
      <c r="G21" s="432"/>
      <c r="H21" s="232">
        <f t="shared" si="0"/>
        <v>0</v>
      </c>
      <c r="I21" s="70"/>
      <c r="J21" s="70"/>
      <c r="K21" s="70"/>
      <c r="L21" s="66"/>
      <c r="M21" s="66"/>
      <c r="N21" s="66"/>
      <c r="O21" s="66"/>
      <c r="P21" s="66"/>
    </row>
    <row r="22" spans="1:16" ht="13.5" customHeight="1" x14ac:dyDescent="0.2">
      <c r="A22" s="184"/>
      <c r="B22" s="185"/>
      <c r="C22" s="205"/>
      <c r="D22" s="432"/>
      <c r="E22" s="432"/>
      <c r="F22" s="432"/>
      <c r="G22" s="432"/>
      <c r="H22" s="232">
        <f t="shared" si="0"/>
        <v>0</v>
      </c>
    </row>
    <row r="23" spans="1:16" s="67" customFormat="1" ht="20.100000000000001" customHeight="1" x14ac:dyDescent="0.25">
      <c r="A23" s="187" t="s">
        <v>18</v>
      </c>
      <c r="B23" s="188">
        <f>SUM(B24:B26)</f>
        <v>16481</v>
      </c>
      <c r="C23" s="182">
        <f>SUM(C24:C26)</f>
        <v>20510</v>
      </c>
      <c r="D23" s="182">
        <f>SUM(D24:D26)</f>
        <v>35576</v>
      </c>
      <c r="E23" s="182">
        <f>SUM(E24:E26)</f>
        <v>39466</v>
      </c>
      <c r="F23" s="182">
        <f>SUM(F24:F26)</f>
        <v>49232</v>
      </c>
      <c r="G23" s="182">
        <f>SUM(G24:G26)</f>
        <v>49232</v>
      </c>
      <c r="H23" s="232">
        <f t="shared" si="0"/>
        <v>0</v>
      </c>
    </row>
    <row r="24" spans="1:16" ht="20.100000000000001" customHeight="1" x14ac:dyDescent="0.2">
      <c r="A24" s="184" t="s">
        <v>19</v>
      </c>
      <c r="B24" s="185">
        <f>'5.sz.tábla '!B43</f>
        <v>0</v>
      </c>
      <c r="C24" s="185">
        <f>'5.sz.tábla '!C43</f>
        <v>71</v>
      </c>
      <c r="D24" s="185">
        <f>'5.sz.tábla '!D43</f>
        <v>71</v>
      </c>
      <c r="E24" s="185">
        <f>'5.sz.tábla '!E43</f>
        <v>71</v>
      </c>
      <c r="F24" s="185">
        <f>'5.sz.tábla '!F43</f>
        <v>71</v>
      </c>
      <c r="G24" s="185">
        <f>'5.sz.tábla '!G43</f>
        <v>71</v>
      </c>
      <c r="H24" s="232">
        <f t="shared" si="0"/>
        <v>0</v>
      </c>
    </row>
    <row r="25" spans="1:16" s="67" customFormat="1" ht="20.100000000000001" customHeight="1" x14ac:dyDescent="0.2">
      <c r="A25" s="184" t="s">
        <v>287</v>
      </c>
      <c r="B25" s="185">
        <f>'5.sz.tábla '!B19</f>
        <v>4200</v>
      </c>
      <c r="C25" s="185">
        <f>'5.sz.tábla '!C19</f>
        <v>5254</v>
      </c>
      <c r="D25" s="185">
        <f>'5.sz.tábla '!D19</f>
        <v>5254</v>
      </c>
      <c r="E25" s="185">
        <f>'5.sz.tábla '!E19</f>
        <v>5254</v>
      </c>
      <c r="F25" s="185">
        <f>'5.sz.tábla '!F19</f>
        <v>5254</v>
      </c>
      <c r="G25" s="185">
        <f>'5.sz.tábla '!G19</f>
        <v>5254</v>
      </c>
      <c r="H25" s="232">
        <f t="shared" si="0"/>
        <v>0</v>
      </c>
    </row>
    <row r="26" spans="1:16" ht="20.100000000000001" customHeight="1" x14ac:dyDescent="0.2">
      <c r="A26" s="184" t="s">
        <v>20</v>
      </c>
      <c r="B26" s="185">
        <f>'5.sz.tábla '!B41</f>
        <v>12281</v>
      </c>
      <c r="C26" s="185">
        <f>'5.sz.tábla '!C41</f>
        <v>15185</v>
      </c>
      <c r="D26" s="185">
        <f>'5.sz.tábla '!D41</f>
        <v>30251</v>
      </c>
      <c r="E26" s="185">
        <f>'5.sz.tábla '!E41</f>
        <v>34141</v>
      </c>
      <c r="F26" s="185">
        <f>'5.sz.tábla '!F41</f>
        <v>43907</v>
      </c>
      <c r="G26" s="185">
        <f>'5.sz.tábla '!G41</f>
        <v>43907</v>
      </c>
      <c r="H26" s="232">
        <f t="shared" si="0"/>
        <v>0</v>
      </c>
    </row>
    <row r="27" spans="1:16" ht="25.5" customHeight="1" x14ac:dyDescent="0.25">
      <c r="A27" s="187"/>
      <c r="B27" s="185"/>
      <c r="C27" s="205"/>
      <c r="D27" s="432"/>
      <c r="E27" s="432"/>
      <c r="F27" s="432"/>
      <c r="G27" s="432"/>
      <c r="H27" s="232">
        <f t="shared" si="0"/>
        <v>0</v>
      </c>
    </row>
    <row r="28" spans="1:16" s="67" customFormat="1" ht="20.100000000000001" customHeight="1" x14ac:dyDescent="0.25">
      <c r="A28" s="187" t="s">
        <v>21</v>
      </c>
      <c r="B28" s="188">
        <f>SUM(B29:B30)</f>
        <v>18507</v>
      </c>
      <c r="C28" s="182">
        <f>SUM(C29:C30)</f>
        <v>14374</v>
      </c>
      <c r="D28" s="182">
        <f>SUM(D29:D30)</f>
        <v>15324</v>
      </c>
      <c r="E28" s="182">
        <f>SUM(E29:E30)</f>
        <v>10422</v>
      </c>
      <c r="F28" s="182">
        <f>SUM(F29:F30)</f>
        <v>9172</v>
      </c>
      <c r="G28" s="182">
        <f>SUM(G29:G30)</f>
        <v>10129</v>
      </c>
      <c r="H28" s="232">
        <f t="shared" si="0"/>
        <v>957</v>
      </c>
    </row>
    <row r="29" spans="1:16" s="67" customFormat="1" ht="20.100000000000001" customHeight="1" x14ac:dyDescent="0.2">
      <c r="A29" s="184" t="s">
        <v>22</v>
      </c>
      <c r="B29" s="185">
        <v>18507</v>
      </c>
      <c r="C29" s="205">
        <f>18507-95-25-70-48-65-60-377-200-200-254-2250-104-72-103-10-200</f>
        <v>14374</v>
      </c>
      <c r="D29" s="432">
        <f>14374+474-9-35-100-250-75-655+1600</f>
        <v>15324</v>
      </c>
      <c r="E29" s="432">
        <f>D29-3142-748-632-380</f>
        <v>10422</v>
      </c>
      <c r="F29" s="432">
        <f>10422-2200-44+994</f>
        <v>9172</v>
      </c>
      <c r="G29" s="432">
        <f>9172+957</f>
        <v>10129</v>
      </c>
      <c r="H29" s="232">
        <f t="shared" si="0"/>
        <v>957</v>
      </c>
    </row>
    <row r="30" spans="1:16" s="67" customFormat="1" ht="20.100000000000001" customHeight="1" x14ac:dyDescent="0.2">
      <c r="A30" s="184" t="s">
        <v>23</v>
      </c>
      <c r="B30" s="185"/>
      <c r="C30" s="205"/>
      <c r="D30" s="432"/>
      <c r="E30" s="432"/>
      <c r="F30" s="432"/>
      <c r="G30" s="432"/>
      <c r="H30" s="232">
        <f t="shared" si="0"/>
        <v>0</v>
      </c>
    </row>
    <row r="31" spans="1:16" s="67" customFormat="1" ht="23.25" customHeight="1" x14ac:dyDescent="0.25">
      <c r="A31" s="187" t="s">
        <v>24</v>
      </c>
      <c r="B31" s="188">
        <f>SUM(B28,B23,B18)</f>
        <v>91151</v>
      </c>
      <c r="C31" s="182">
        <f>SUM(C28,C23,C18)</f>
        <v>92454</v>
      </c>
      <c r="D31" s="182">
        <f>SUM(D28,D23,D18)</f>
        <v>109561</v>
      </c>
      <c r="E31" s="182">
        <f>SUM(E28,E23,E18)</f>
        <v>109561</v>
      </c>
      <c r="F31" s="182">
        <f>SUM(F28,F23,F18)</f>
        <v>120854</v>
      </c>
      <c r="G31" s="182">
        <f>SUM(G28,G23,G18)</f>
        <v>121811</v>
      </c>
      <c r="H31" s="232">
        <f t="shared" si="0"/>
        <v>957</v>
      </c>
    </row>
    <row r="32" spans="1:16" ht="20.100000000000001" customHeight="1" x14ac:dyDescent="0.2">
      <c r="A32" s="184" t="s">
        <v>25</v>
      </c>
      <c r="B32" s="185"/>
      <c r="C32" s="205"/>
      <c r="D32" s="432"/>
      <c r="E32" s="432"/>
      <c r="F32" s="432"/>
      <c r="G32" s="432"/>
      <c r="H32" s="232">
        <f t="shared" si="0"/>
        <v>0</v>
      </c>
    </row>
    <row r="33" spans="1:9" ht="28.5" customHeight="1" x14ac:dyDescent="0.2">
      <c r="A33" s="184" t="s">
        <v>257</v>
      </c>
      <c r="B33" s="185">
        <f>'5.sz.tábla '!B52</f>
        <v>1377</v>
      </c>
      <c r="C33" s="185">
        <f>'5.sz.tábla '!C52</f>
        <v>1796</v>
      </c>
      <c r="D33" s="185">
        <f>'5.sz.tábla '!D52</f>
        <v>1796</v>
      </c>
      <c r="E33" s="185">
        <f>'5.sz.tábla '!E52</f>
        <v>1796</v>
      </c>
      <c r="F33" s="185">
        <f>'5.sz.tábla '!F52</f>
        <v>1796</v>
      </c>
      <c r="G33" s="185">
        <f>'5.sz.tábla '!G52</f>
        <v>1796</v>
      </c>
      <c r="H33" s="232">
        <f t="shared" si="0"/>
        <v>0</v>
      </c>
    </row>
    <row r="34" spans="1:9" s="67" customFormat="1" ht="21.75" customHeight="1" x14ac:dyDescent="0.25">
      <c r="A34" s="187" t="s">
        <v>26</v>
      </c>
      <c r="B34" s="188">
        <f>SUM(B32:B33)</f>
        <v>1377</v>
      </c>
      <c r="C34" s="182">
        <f>SUM(C32:C33)</f>
        <v>1796</v>
      </c>
      <c r="D34" s="182">
        <f>SUM(D32:D33)</f>
        <v>1796</v>
      </c>
      <c r="E34" s="182">
        <f>SUM(E32:E33)</f>
        <v>1796</v>
      </c>
      <c r="F34" s="182">
        <f>SUM(F32:F33)</f>
        <v>1796</v>
      </c>
      <c r="G34" s="182">
        <f>SUM(G32:G33)</f>
        <v>1796</v>
      </c>
      <c r="H34" s="232">
        <f t="shared" si="0"/>
        <v>0</v>
      </c>
    </row>
    <row r="35" spans="1:9" s="67" customFormat="1" ht="20.100000000000001" customHeight="1" x14ac:dyDescent="0.25">
      <c r="A35" s="190" t="s">
        <v>27</v>
      </c>
      <c r="B35" s="191">
        <f>SUM(B31,B34)</f>
        <v>92528</v>
      </c>
      <c r="C35" s="183">
        <f>SUM(C31,C34)</f>
        <v>94250</v>
      </c>
      <c r="D35" s="183">
        <f>SUM(D31,D34)</f>
        <v>111357</v>
      </c>
      <c r="E35" s="183">
        <f>SUM(E31,E34)</f>
        <v>111357</v>
      </c>
      <c r="F35" s="183">
        <f>SUM(F31,F34)</f>
        <v>122650</v>
      </c>
      <c r="G35" s="183">
        <f>SUM(G31,G34)</f>
        <v>123607</v>
      </c>
      <c r="H35" s="232">
        <f t="shared" si="0"/>
        <v>957</v>
      </c>
      <c r="I35" s="87"/>
    </row>
    <row r="36" spans="1:9" ht="15" x14ac:dyDescent="0.2">
      <c r="A36" s="134"/>
      <c r="B36" s="135"/>
      <c r="C36" s="135"/>
      <c r="D36" s="135"/>
      <c r="E36" s="135"/>
      <c r="F36" s="135"/>
      <c r="G36" s="135"/>
      <c r="H36" s="135"/>
    </row>
    <row r="37" spans="1:9" ht="15" x14ac:dyDescent="0.2">
      <c r="A37" s="71"/>
      <c r="B37" s="65"/>
      <c r="C37" s="65"/>
      <c r="D37" s="65"/>
      <c r="E37" s="65"/>
      <c r="F37" s="65"/>
      <c r="G37" s="65"/>
      <c r="H37" s="65"/>
    </row>
    <row r="38" spans="1:9" ht="15" x14ac:dyDescent="0.2">
      <c r="A38" s="71"/>
      <c r="B38" s="65"/>
      <c r="C38" s="65"/>
      <c r="D38" s="65"/>
      <c r="E38" s="65"/>
      <c r="F38" s="65"/>
      <c r="G38" s="65"/>
      <c r="H38" s="65"/>
    </row>
  </sheetData>
  <sheetProtection selectLockedCells="1" selectUnlockedCells="1"/>
  <phoneticPr fontId="27" type="noConversion"/>
  <printOptions horizontalCentered="1"/>
  <pageMargins left="0.79281250000000003" right="0.57986111111111116" top="1.1201388888888888" bottom="0.98402777777777772" header="0.45" footer="0.51180555555555551"/>
  <pageSetup paperSize="9" scale="59" firstPageNumber="0" orientation="portrait" r:id="rId1"/>
  <headerFooter alignWithMargins="0">
    <oddHeader>&amp;LPécsely Község Önkormányzata&amp;C&amp;"Arial,Félkövér"&amp;12PÉCSELY ÖNKORMÁNYZAT 2016. ÉVI FŐÖSSZESÍTŐJE
1. melléklet a ../2017. (.....) rendelethez&amp;R&amp;P. oldalezer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96"/>
  <sheetViews>
    <sheetView view="pageLayout" topLeftCell="A72" zoomScaleNormal="75" zoomScaleSheetLayoutView="89" workbookViewId="0">
      <selection activeCell="H58" sqref="H58"/>
    </sheetView>
  </sheetViews>
  <sheetFormatPr defaultColWidth="9.140625" defaultRowHeight="12.75" x14ac:dyDescent="0.2"/>
  <cols>
    <col min="1" max="1" width="25.7109375" style="70" customWidth="1"/>
    <col min="2" max="2" width="10.5703125" style="70" bestFit="1" customWidth="1"/>
    <col min="3" max="6" width="10.42578125" style="70" bestFit="1" customWidth="1"/>
    <col min="7" max="7" width="10.42578125" style="70" customWidth="1"/>
    <col min="8" max="8" width="11.42578125" style="70" customWidth="1"/>
    <col min="9" max="9" width="9.7109375" style="73" customWidth="1"/>
    <col min="10" max="11" width="9.140625" style="73"/>
    <col min="12" max="12" width="0.28515625" style="73" customWidth="1"/>
    <col min="13" max="16384" width="9.140625" style="73"/>
  </cols>
  <sheetData>
    <row r="1" spans="1:9" ht="13.5" hidden="1" thickBot="1" x14ac:dyDescent="0.25">
      <c r="A1" s="105"/>
      <c r="B1" s="104"/>
      <c r="C1" s="104"/>
      <c r="D1" s="104"/>
      <c r="E1" s="104"/>
      <c r="F1" s="104"/>
      <c r="G1" s="104"/>
      <c r="H1" s="104"/>
    </row>
    <row r="2" spans="1:9" ht="13.5" hidden="1" thickBot="1" x14ac:dyDescent="0.25">
      <c r="A2" s="108"/>
    </row>
    <row r="3" spans="1:9" s="74" customFormat="1" ht="27.75" customHeight="1" thickBot="1" x14ac:dyDescent="0.25">
      <c r="A3" s="181" t="s">
        <v>241</v>
      </c>
      <c r="B3" s="486" t="s">
        <v>28</v>
      </c>
      <c r="C3" s="486"/>
      <c r="D3" s="486"/>
      <c r="E3" s="486"/>
      <c r="F3" s="486"/>
      <c r="G3" s="486"/>
      <c r="H3" s="486"/>
    </row>
    <row r="4" spans="1:9" s="75" customFormat="1" ht="53.25" customHeight="1" thickBot="1" x14ac:dyDescent="0.25">
      <c r="A4" s="192"/>
      <c r="B4" s="193" t="s">
        <v>391</v>
      </c>
      <c r="C4" s="194" t="s">
        <v>392</v>
      </c>
      <c r="D4" s="430" t="s">
        <v>409</v>
      </c>
      <c r="E4" s="430" t="s">
        <v>416</v>
      </c>
      <c r="F4" s="430" t="s">
        <v>420</v>
      </c>
      <c r="G4" s="430" t="s">
        <v>424</v>
      </c>
      <c r="H4" s="193" t="s">
        <v>393</v>
      </c>
    </row>
    <row r="5" spans="1:9" s="75" customFormat="1" ht="39" thickBot="1" x14ac:dyDescent="0.25">
      <c r="A5" s="236" t="s">
        <v>4</v>
      </c>
      <c r="B5" s="244">
        <f t="shared" ref="B5:G5" si="0">B6+B14+B15+B16+B17+B18</f>
        <v>30098</v>
      </c>
      <c r="C5" s="235">
        <f t="shared" si="0"/>
        <v>31401</v>
      </c>
      <c r="D5" s="235">
        <f t="shared" si="0"/>
        <v>31769</v>
      </c>
      <c r="E5" s="235">
        <f t="shared" si="0"/>
        <v>31769</v>
      </c>
      <c r="F5" s="235">
        <f t="shared" si="0"/>
        <v>33030</v>
      </c>
      <c r="G5" s="235">
        <f t="shared" si="0"/>
        <v>33030</v>
      </c>
      <c r="H5" s="235">
        <f>G5-F5</f>
        <v>0</v>
      </c>
    </row>
    <row r="6" spans="1:9" s="77" customFormat="1" ht="26.25" thickBot="1" x14ac:dyDescent="0.25">
      <c r="A6" s="237" t="s">
        <v>29</v>
      </c>
      <c r="B6" s="110">
        <f>SUM(B7:B13)</f>
        <v>24944</v>
      </c>
      <c r="C6" s="110">
        <f t="shared" ref="C6:G6" si="1">SUM(C7:C12)</f>
        <v>24944</v>
      </c>
      <c r="D6" s="110">
        <f t="shared" si="1"/>
        <v>24944</v>
      </c>
      <c r="E6" s="110">
        <f t="shared" si="1"/>
        <v>24944</v>
      </c>
      <c r="F6" s="110">
        <f t="shared" si="1"/>
        <v>26068</v>
      </c>
      <c r="G6" s="110">
        <f t="shared" si="1"/>
        <v>26068</v>
      </c>
      <c r="H6" s="235">
        <f t="shared" ref="H6:H29" si="2">G6-F6</f>
        <v>0</v>
      </c>
      <c r="I6" s="76"/>
    </row>
    <row r="7" spans="1:9" s="77" customFormat="1" ht="39" thickBot="1" x14ac:dyDescent="0.25">
      <c r="A7" s="238" t="s">
        <v>30</v>
      </c>
      <c r="B7" s="210">
        <v>16018</v>
      </c>
      <c r="C7" s="112">
        <v>16018</v>
      </c>
      <c r="D7" s="112">
        <v>16018</v>
      </c>
      <c r="E7" s="112">
        <v>16018</v>
      </c>
      <c r="F7" s="112">
        <v>16018</v>
      </c>
      <c r="G7" s="112">
        <v>16018</v>
      </c>
      <c r="H7" s="235">
        <f t="shared" si="2"/>
        <v>0</v>
      </c>
      <c r="I7" s="76"/>
    </row>
    <row r="8" spans="1:9" s="77" customFormat="1" ht="39" thickBot="1" x14ac:dyDescent="0.25">
      <c r="A8" s="238" t="s">
        <v>31</v>
      </c>
      <c r="B8" s="210"/>
      <c r="C8" s="112"/>
      <c r="D8" s="112"/>
      <c r="E8" s="112"/>
      <c r="F8" s="112"/>
      <c r="G8" s="112"/>
      <c r="H8" s="235">
        <f t="shared" si="2"/>
        <v>0</v>
      </c>
      <c r="I8" s="76"/>
    </row>
    <row r="9" spans="1:9" s="77" customFormat="1" ht="39" thickBot="1" x14ac:dyDescent="0.25">
      <c r="A9" s="239" t="s">
        <v>32</v>
      </c>
      <c r="B9" s="210">
        <v>7726</v>
      </c>
      <c r="C9" s="112">
        <v>7726</v>
      </c>
      <c r="D9" s="112">
        <v>7726</v>
      </c>
      <c r="E9" s="112">
        <v>7726</v>
      </c>
      <c r="F9" s="112">
        <f>7726+55</f>
        <v>7781</v>
      </c>
      <c r="G9" s="112">
        <f>7726+55</f>
        <v>7781</v>
      </c>
      <c r="H9" s="235">
        <f t="shared" si="2"/>
        <v>0</v>
      </c>
      <c r="I9" s="76"/>
    </row>
    <row r="10" spans="1:9" s="77" customFormat="1" ht="26.25" thickBot="1" x14ac:dyDescent="0.25">
      <c r="A10" s="239" t="s">
        <v>33</v>
      </c>
      <c r="B10" s="210">
        <v>1200</v>
      </c>
      <c r="C10" s="112">
        <v>1200</v>
      </c>
      <c r="D10" s="112">
        <v>1200</v>
      </c>
      <c r="E10" s="112">
        <v>1200</v>
      </c>
      <c r="F10" s="112">
        <v>1200</v>
      </c>
      <c r="G10" s="112">
        <v>1200</v>
      </c>
      <c r="H10" s="235">
        <f t="shared" si="2"/>
        <v>0</v>
      </c>
      <c r="I10" s="76"/>
    </row>
    <row r="11" spans="1:9" s="75" customFormat="1" ht="51.75" thickBot="1" x14ac:dyDescent="0.25">
      <c r="A11" s="240" t="s">
        <v>0</v>
      </c>
      <c r="B11" s="210"/>
      <c r="C11" s="112"/>
      <c r="D11" s="112"/>
      <c r="E11" s="112"/>
      <c r="F11" s="112">
        <f>533+536</f>
        <v>1069</v>
      </c>
      <c r="G11" s="112">
        <f>533+536</f>
        <v>1069</v>
      </c>
      <c r="H11" s="235">
        <f t="shared" si="2"/>
        <v>0</v>
      </c>
    </row>
    <row r="12" spans="1:9" s="75" customFormat="1" ht="26.25" thickBot="1" x14ac:dyDescent="0.25">
      <c r="A12" s="240" t="s">
        <v>1</v>
      </c>
      <c r="B12" s="210"/>
      <c r="C12" s="112"/>
      <c r="D12" s="112"/>
      <c r="E12" s="112"/>
      <c r="F12" s="112"/>
      <c r="G12" s="112"/>
      <c r="H12" s="235">
        <f t="shared" si="2"/>
        <v>0</v>
      </c>
    </row>
    <row r="13" spans="1:9" s="75" customFormat="1" ht="13.5" thickBot="1" x14ac:dyDescent="0.25">
      <c r="A13" s="240" t="s">
        <v>340</v>
      </c>
      <c r="B13" s="210"/>
      <c r="C13" s="112"/>
      <c r="D13" s="112"/>
      <c r="E13" s="112"/>
      <c r="F13" s="112"/>
      <c r="G13" s="112"/>
      <c r="H13" s="235">
        <f t="shared" si="2"/>
        <v>0</v>
      </c>
    </row>
    <row r="14" spans="1:9" s="75" customFormat="1" ht="13.5" thickBot="1" x14ac:dyDescent="0.25">
      <c r="A14" s="240" t="s">
        <v>254</v>
      </c>
      <c r="B14" s="210"/>
      <c r="C14" s="112"/>
      <c r="D14" s="112"/>
      <c r="E14" s="112"/>
      <c r="F14" s="112"/>
      <c r="G14" s="112"/>
      <c r="H14" s="235">
        <f t="shared" si="2"/>
        <v>0</v>
      </c>
    </row>
    <row r="15" spans="1:9" s="78" customFormat="1" ht="51.75" thickBot="1" x14ac:dyDescent="0.25">
      <c r="A15" s="240" t="s">
        <v>34</v>
      </c>
      <c r="B15" s="211"/>
      <c r="C15" s="110"/>
      <c r="D15" s="110"/>
      <c r="E15" s="110"/>
      <c r="F15" s="110"/>
      <c r="G15" s="110"/>
      <c r="H15" s="235">
        <f t="shared" si="2"/>
        <v>0</v>
      </c>
    </row>
    <row r="16" spans="1:9" s="78" customFormat="1" ht="51.75" thickBot="1" x14ac:dyDescent="0.25">
      <c r="A16" s="239" t="s">
        <v>35</v>
      </c>
      <c r="B16" s="211"/>
      <c r="C16" s="110"/>
      <c r="D16" s="110"/>
      <c r="E16" s="110"/>
      <c r="F16" s="110"/>
      <c r="G16" s="110"/>
      <c r="H16" s="235">
        <f t="shared" si="2"/>
        <v>0</v>
      </c>
    </row>
    <row r="17" spans="1:9" s="78" customFormat="1" ht="51.75" thickBot="1" x14ac:dyDescent="0.25">
      <c r="A17" s="239" t="s">
        <v>36</v>
      </c>
      <c r="B17" s="211"/>
      <c r="C17" s="110"/>
      <c r="D17" s="110"/>
      <c r="E17" s="110"/>
      <c r="F17" s="110"/>
      <c r="G17" s="110"/>
      <c r="H17" s="235">
        <f t="shared" si="2"/>
        <v>0</v>
      </c>
    </row>
    <row r="18" spans="1:9" s="75" customFormat="1" ht="39" thickBot="1" x14ac:dyDescent="0.25">
      <c r="A18" s="239" t="s">
        <v>37</v>
      </c>
      <c r="B18" s="210">
        <v>5154</v>
      </c>
      <c r="C18" s="112">
        <f>5154+1303</f>
        <v>6457</v>
      </c>
      <c r="D18" s="112">
        <f>5154+1303+145+223</f>
        <v>6825</v>
      </c>
      <c r="E18" s="112">
        <f>5154+1303+145+223</f>
        <v>6825</v>
      </c>
      <c r="F18" s="112">
        <f>6825+137</f>
        <v>6962</v>
      </c>
      <c r="G18" s="112">
        <f>6825+137</f>
        <v>6962</v>
      </c>
      <c r="H18" s="235">
        <f t="shared" si="2"/>
        <v>0</v>
      </c>
    </row>
    <row r="19" spans="1:9" s="75" customFormat="1" ht="39" thickBot="1" x14ac:dyDescent="0.25">
      <c r="A19" s="239" t="s">
        <v>38</v>
      </c>
      <c r="B19" s="210">
        <v>4056</v>
      </c>
      <c r="C19" s="112">
        <v>4056</v>
      </c>
      <c r="D19" s="112">
        <f>223+4056</f>
        <v>4279</v>
      </c>
      <c r="E19" s="112">
        <f>223+4056</f>
        <v>4279</v>
      </c>
      <c r="F19" s="112">
        <v>4279</v>
      </c>
      <c r="G19" s="112">
        <v>4279</v>
      </c>
      <c r="H19" s="235">
        <f t="shared" si="2"/>
        <v>0</v>
      </c>
    </row>
    <row r="20" spans="1:9" s="75" customFormat="1" ht="39" thickBot="1" x14ac:dyDescent="0.25">
      <c r="A20" s="241" t="s">
        <v>5</v>
      </c>
      <c r="B20" s="209">
        <v>0</v>
      </c>
      <c r="C20" s="109">
        <f>C21+C23</f>
        <v>0</v>
      </c>
      <c r="D20" s="109">
        <f>D21+D23</f>
        <v>12750</v>
      </c>
      <c r="E20" s="109">
        <f>E21+E23</f>
        <v>12750</v>
      </c>
      <c r="F20" s="109">
        <f>F21+F23</f>
        <v>22516</v>
      </c>
      <c r="G20" s="109">
        <f>G21+G23</f>
        <v>22516</v>
      </c>
      <c r="H20" s="235">
        <f t="shared" si="2"/>
        <v>0</v>
      </c>
    </row>
    <row r="21" spans="1:9" s="75" customFormat="1" ht="26.25" thickBot="1" x14ac:dyDescent="0.25">
      <c r="A21" s="239" t="s">
        <v>39</v>
      </c>
      <c r="B21" s="210">
        <v>0</v>
      </c>
      <c r="C21" s="111">
        <v>0</v>
      </c>
      <c r="D21" s="111">
        <f>SUM(D22:D24)</f>
        <v>12750</v>
      </c>
      <c r="E21" s="111">
        <f>SUM(E22:E25)</f>
        <v>12750</v>
      </c>
      <c r="F21" s="111">
        <f>SUM(F22:F25)</f>
        <v>22516</v>
      </c>
      <c r="G21" s="111">
        <f>SUM(G22:G25)</f>
        <v>22516</v>
      </c>
      <c r="H21" s="235">
        <f t="shared" si="2"/>
        <v>0</v>
      </c>
    </row>
    <row r="22" spans="1:9" s="75" customFormat="1" ht="26.25" thickBot="1" x14ac:dyDescent="0.25">
      <c r="A22" s="240" t="s">
        <v>40</v>
      </c>
      <c r="B22" s="210"/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235">
        <f t="shared" si="2"/>
        <v>0</v>
      </c>
    </row>
    <row r="23" spans="1:9" s="75" customFormat="1" ht="26.25" customHeight="1" thickBot="1" x14ac:dyDescent="0.25">
      <c r="A23" s="239" t="s">
        <v>120</v>
      </c>
      <c r="B23" s="210"/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235">
        <f t="shared" si="2"/>
        <v>0</v>
      </c>
    </row>
    <row r="24" spans="1:9" s="75" customFormat="1" ht="26.25" customHeight="1" thickBot="1" x14ac:dyDescent="0.25">
      <c r="A24" s="240" t="s">
        <v>410</v>
      </c>
      <c r="B24" s="210">
        <v>0</v>
      </c>
      <c r="C24" s="112">
        <v>0</v>
      </c>
      <c r="D24" s="112">
        <v>12750</v>
      </c>
      <c r="E24" s="112">
        <v>12750</v>
      </c>
      <c r="F24" s="112">
        <v>12750</v>
      </c>
      <c r="G24" s="112">
        <v>12750</v>
      </c>
      <c r="H24" s="235">
        <f t="shared" si="2"/>
        <v>0</v>
      </c>
    </row>
    <row r="25" spans="1:9" s="75" customFormat="1" ht="26.25" customHeight="1" thickBot="1" x14ac:dyDescent="0.25">
      <c r="A25" s="240" t="s">
        <v>423</v>
      </c>
      <c r="B25" s="210"/>
      <c r="C25" s="112"/>
      <c r="D25" s="112"/>
      <c r="E25" s="112"/>
      <c r="F25" s="112">
        <v>9766</v>
      </c>
      <c r="G25" s="112">
        <v>9766</v>
      </c>
      <c r="H25" s="235">
        <f t="shared" si="2"/>
        <v>0</v>
      </c>
    </row>
    <row r="26" spans="1:9" s="75" customFormat="1" ht="64.5" thickBot="1" x14ac:dyDescent="0.25">
      <c r="A26" s="239" t="s">
        <v>41</v>
      </c>
      <c r="B26" s="210"/>
      <c r="C26" s="112"/>
      <c r="D26" s="112"/>
      <c r="E26" s="112"/>
      <c r="F26" s="112"/>
      <c r="G26" s="112"/>
      <c r="H26" s="235">
        <f t="shared" si="2"/>
        <v>0</v>
      </c>
    </row>
    <row r="27" spans="1:9" s="75" customFormat="1" ht="51.75" thickBot="1" x14ac:dyDescent="0.25">
      <c r="A27" s="239" t="s">
        <v>42</v>
      </c>
      <c r="B27" s="210"/>
      <c r="C27" s="112"/>
      <c r="D27" s="112"/>
      <c r="E27" s="112"/>
      <c r="F27" s="112"/>
      <c r="G27" s="112"/>
      <c r="H27" s="235">
        <f>G27-F27</f>
        <v>0</v>
      </c>
    </row>
    <row r="28" spans="1:9" s="75" customFormat="1" ht="51.75" thickBot="1" x14ac:dyDescent="0.25">
      <c r="A28" s="239" t="s">
        <v>43</v>
      </c>
      <c r="B28" s="210"/>
      <c r="C28" s="112"/>
      <c r="D28" s="112"/>
      <c r="E28" s="112"/>
      <c r="F28" s="112"/>
      <c r="G28" s="112"/>
      <c r="H28" s="235">
        <f t="shared" si="2"/>
        <v>0</v>
      </c>
    </row>
    <row r="29" spans="1:9" s="75" customFormat="1" ht="39" thickBot="1" x14ac:dyDescent="0.25">
      <c r="A29" s="242" t="s">
        <v>255</v>
      </c>
      <c r="B29" s="245"/>
      <c r="C29" s="124"/>
      <c r="D29" s="117"/>
      <c r="E29" s="117"/>
      <c r="F29" s="117"/>
      <c r="G29" s="117"/>
      <c r="H29" s="235">
        <f t="shared" si="2"/>
        <v>0</v>
      </c>
    </row>
    <row r="30" spans="1:9" s="75" customFormat="1" ht="27" customHeight="1" thickBot="1" x14ac:dyDescent="0.25">
      <c r="A30" s="243" t="s">
        <v>241</v>
      </c>
      <c r="B30" s="487" t="s">
        <v>28</v>
      </c>
      <c r="C30" s="487"/>
      <c r="D30" s="487"/>
      <c r="E30" s="487"/>
      <c r="F30" s="487"/>
      <c r="G30" s="487"/>
      <c r="H30" s="487"/>
    </row>
    <row r="31" spans="1:9" s="75" customFormat="1" ht="54" customHeight="1" thickBot="1" x14ac:dyDescent="0.25">
      <c r="A31" s="195"/>
      <c r="B31" s="193" t="s">
        <v>391</v>
      </c>
      <c r="C31" s="194" t="s">
        <v>392</v>
      </c>
      <c r="D31" s="430" t="s">
        <v>409</v>
      </c>
      <c r="E31" s="430" t="s">
        <v>416</v>
      </c>
      <c r="F31" s="430" t="s">
        <v>420</v>
      </c>
      <c r="G31" s="430" t="s">
        <v>424</v>
      </c>
      <c r="H31" s="193" t="s">
        <v>393</v>
      </c>
    </row>
    <row r="32" spans="1:9" s="75" customFormat="1" ht="13.5" thickBot="1" x14ac:dyDescent="0.25">
      <c r="A32" s="234" t="s">
        <v>6</v>
      </c>
      <c r="B32" s="235">
        <f>B33+B37+B45</f>
        <v>20450</v>
      </c>
      <c r="C32" s="235">
        <f>C33+C37+C45</f>
        <v>20450</v>
      </c>
      <c r="D32" s="235">
        <f>D33+D37+D45</f>
        <v>20450</v>
      </c>
      <c r="E32" s="235">
        <f>E33+E37+E45</f>
        <v>20450</v>
      </c>
      <c r="F32" s="235">
        <f>F33+F37+F45</f>
        <v>24399</v>
      </c>
      <c r="G32" s="235">
        <f>G33+G37+G45</f>
        <v>24429</v>
      </c>
      <c r="H32" s="235">
        <f>G32-F32</f>
        <v>30</v>
      </c>
      <c r="I32" s="79"/>
    </row>
    <row r="33" spans="1:9" s="75" customFormat="1" ht="13.5" thickBot="1" x14ac:dyDescent="0.25">
      <c r="A33" s="122" t="s">
        <v>44</v>
      </c>
      <c r="B33" s="112">
        <f>SUM(B34:B36)</f>
        <v>10000</v>
      </c>
      <c r="C33" s="112">
        <f>SUM(C34:C36)</f>
        <v>10000</v>
      </c>
      <c r="D33" s="112">
        <f>SUM(D34:D36)</f>
        <v>10000</v>
      </c>
      <c r="E33" s="112">
        <f>SUM(E34:E36)</f>
        <v>10000</v>
      </c>
      <c r="F33" s="112">
        <f>SUM(F34:F36)</f>
        <v>10819</v>
      </c>
      <c r="G33" s="112">
        <f>SUM(G34:G36)</f>
        <v>10811</v>
      </c>
      <c r="H33" s="235">
        <f t="shared" ref="H33:H68" si="3">G33-F33</f>
        <v>-8</v>
      </c>
    </row>
    <row r="34" spans="1:9" s="75" customFormat="1" ht="13.5" thickBot="1" x14ac:dyDescent="0.25">
      <c r="A34" s="121" t="s">
        <v>45</v>
      </c>
      <c r="B34" s="112"/>
      <c r="C34" s="112"/>
      <c r="D34" s="112"/>
      <c r="E34" s="112"/>
      <c r="F34" s="112"/>
      <c r="G34" s="112"/>
      <c r="H34" s="235">
        <f t="shared" si="3"/>
        <v>0</v>
      </c>
    </row>
    <row r="35" spans="1:9" s="75" customFormat="1" ht="13.5" thickBot="1" x14ac:dyDescent="0.25">
      <c r="A35" s="121" t="s">
        <v>46</v>
      </c>
      <c r="B35" s="112">
        <v>200</v>
      </c>
      <c r="C35" s="112">
        <v>200</v>
      </c>
      <c r="D35" s="112">
        <v>200</v>
      </c>
      <c r="E35" s="112">
        <v>200</v>
      </c>
      <c r="F35" s="112">
        <f>200+174</f>
        <v>374</v>
      </c>
      <c r="G35" s="112">
        <v>374</v>
      </c>
      <c r="H35" s="235">
        <f t="shared" si="3"/>
        <v>0</v>
      </c>
    </row>
    <row r="36" spans="1:9" s="75" customFormat="1" ht="26.25" thickBot="1" x14ac:dyDescent="0.25">
      <c r="A36" s="306" t="s">
        <v>288</v>
      </c>
      <c r="B36" s="112">
        <v>9800</v>
      </c>
      <c r="C36" s="112">
        <v>9800</v>
      </c>
      <c r="D36" s="112">
        <v>9800</v>
      </c>
      <c r="E36" s="112">
        <v>9800</v>
      </c>
      <c r="F36" s="112">
        <f>9800+645</f>
        <v>10445</v>
      </c>
      <c r="G36" s="112">
        <f>10445-8</f>
        <v>10437</v>
      </c>
      <c r="H36" s="235">
        <f t="shared" si="3"/>
        <v>-8</v>
      </c>
    </row>
    <row r="37" spans="1:9" s="75" customFormat="1" ht="27" customHeight="1" thickBot="1" x14ac:dyDescent="0.25">
      <c r="A37" s="122" t="s">
        <v>47</v>
      </c>
      <c r="B37" s="111">
        <f>B38+B40+B41</f>
        <v>10200</v>
      </c>
      <c r="C37" s="111">
        <f>C38+C40+C41</f>
        <v>10200</v>
      </c>
      <c r="D37" s="111">
        <f>D38+D40+D41</f>
        <v>10200</v>
      </c>
      <c r="E37" s="111">
        <f>E38+E40+E41</f>
        <v>10200</v>
      </c>
      <c r="F37" s="111">
        <f>F38+F40+F41</f>
        <v>13142</v>
      </c>
      <c r="G37" s="111">
        <f>G38+G40+G41</f>
        <v>13104</v>
      </c>
      <c r="H37" s="235">
        <f t="shared" si="3"/>
        <v>-38</v>
      </c>
    </row>
    <row r="38" spans="1:9" s="75" customFormat="1" ht="25.5" customHeight="1" thickBot="1" x14ac:dyDescent="0.25">
      <c r="A38" s="122" t="s">
        <v>48</v>
      </c>
      <c r="B38" s="111">
        <f>SUM(B39)</f>
        <v>8600</v>
      </c>
      <c r="C38" s="111">
        <f>SUM(C39)</f>
        <v>8600</v>
      </c>
      <c r="D38" s="111">
        <f>SUM(D39)</f>
        <v>8600</v>
      </c>
      <c r="E38" s="111">
        <f>SUM(E39)</f>
        <v>8600</v>
      </c>
      <c r="F38" s="111">
        <f>SUM(F39)</f>
        <v>10426</v>
      </c>
      <c r="G38" s="111">
        <f>SUM(G39)</f>
        <v>10434</v>
      </c>
      <c r="H38" s="235">
        <f t="shared" si="3"/>
        <v>8</v>
      </c>
    </row>
    <row r="39" spans="1:9" s="75" customFormat="1" ht="13.5" thickBot="1" x14ac:dyDescent="0.25">
      <c r="A39" s="122" t="s">
        <v>49</v>
      </c>
      <c r="B39" s="112">
        <v>8600</v>
      </c>
      <c r="C39" s="112">
        <v>8600</v>
      </c>
      <c r="D39" s="112">
        <v>8600</v>
      </c>
      <c r="E39" s="112">
        <v>8600</v>
      </c>
      <c r="F39" s="112">
        <f>8600+1826</f>
        <v>10426</v>
      </c>
      <c r="G39" s="112">
        <f>10426+8</f>
        <v>10434</v>
      </c>
      <c r="H39" s="235">
        <f t="shared" si="3"/>
        <v>8</v>
      </c>
    </row>
    <row r="40" spans="1:9" s="75" customFormat="1" ht="13.5" thickBot="1" x14ac:dyDescent="0.25">
      <c r="A40" s="122" t="s">
        <v>50</v>
      </c>
      <c r="B40" s="112">
        <v>1500</v>
      </c>
      <c r="C40" s="112">
        <v>1500</v>
      </c>
      <c r="D40" s="112">
        <v>1500</v>
      </c>
      <c r="E40" s="112">
        <v>1500</v>
      </c>
      <c r="F40" s="112">
        <f>1500+219</f>
        <v>1719</v>
      </c>
      <c r="G40" s="112">
        <f>1719-79</f>
        <v>1640</v>
      </c>
      <c r="H40" s="235">
        <f t="shared" si="3"/>
        <v>-79</v>
      </c>
    </row>
    <row r="41" spans="1:9" s="75" customFormat="1" ht="26.25" thickBot="1" x14ac:dyDescent="0.25">
      <c r="A41" s="122" t="s">
        <v>51</v>
      </c>
      <c r="B41" s="111">
        <f>SUM(B42:B44)</f>
        <v>100</v>
      </c>
      <c r="C41" s="111">
        <f>SUM(C42:C44)</f>
        <v>100</v>
      </c>
      <c r="D41" s="111">
        <f>SUM(D42:D44)</f>
        <v>100</v>
      </c>
      <c r="E41" s="111">
        <f>SUM(E42:E44)</f>
        <v>100</v>
      </c>
      <c r="F41" s="111">
        <f>SUM(F42:F44)</f>
        <v>997</v>
      </c>
      <c r="G41" s="111">
        <f>SUM(G42:G44)</f>
        <v>1030</v>
      </c>
      <c r="H41" s="235">
        <f t="shared" si="3"/>
        <v>33</v>
      </c>
    </row>
    <row r="42" spans="1:9" s="75" customFormat="1" ht="13.5" thickBot="1" x14ac:dyDescent="0.25">
      <c r="A42" s="122" t="s">
        <v>52</v>
      </c>
      <c r="B42" s="112">
        <v>100</v>
      </c>
      <c r="C42" s="112">
        <v>100</v>
      </c>
      <c r="D42" s="112">
        <v>100</v>
      </c>
      <c r="E42" s="112">
        <v>100</v>
      </c>
      <c r="F42" s="112">
        <f>100+897</f>
        <v>997</v>
      </c>
      <c r="G42" s="112">
        <f>997+33</f>
        <v>1030</v>
      </c>
      <c r="H42" s="235">
        <f t="shared" si="3"/>
        <v>33</v>
      </c>
    </row>
    <row r="43" spans="1:9" s="75" customFormat="1" ht="13.5" thickBot="1" x14ac:dyDescent="0.25">
      <c r="A43" s="122" t="s">
        <v>53</v>
      </c>
      <c r="B43" s="112"/>
      <c r="C43" s="112"/>
      <c r="D43" s="112"/>
      <c r="E43" s="112"/>
      <c r="F43" s="112"/>
      <c r="G43" s="112"/>
      <c r="H43" s="235">
        <f t="shared" si="3"/>
        <v>0</v>
      </c>
    </row>
    <row r="44" spans="1:9" s="75" customFormat="1" ht="13.5" thickBot="1" x14ac:dyDescent="0.25">
      <c r="A44" s="123" t="s">
        <v>242</v>
      </c>
      <c r="B44" s="112"/>
      <c r="C44" s="112"/>
      <c r="D44" s="112"/>
      <c r="E44" s="112"/>
      <c r="F44" s="112"/>
      <c r="G44" s="112"/>
      <c r="H44" s="235">
        <f t="shared" si="3"/>
        <v>0</v>
      </c>
    </row>
    <row r="45" spans="1:9" s="75" customFormat="1" ht="26.25" thickBot="1" x14ac:dyDescent="0.25">
      <c r="A45" s="122" t="s">
        <v>54</v>
      </c>
      <c r="B45" s="110">
        <v>250</v>
      </c>
      <c r="C45" s="110">
        <v>250</v>
      </c>
      <c r="D45" s="110">
        <v>250</v>
      </c>
      <c r="E45" s="110">
        <v>250</v>
      </c>
      <c r="F45" s="110">
        <f>250+188</f>
        <v>438</v>
      </c>
      <c r="G45" s="110">
        <f>438+76</f>
        <v>514</v>
      </c>
      <c r="H45" s="235">
        <f t="shared" si="3"/>
        <v>76</v>
      </c>
    </row>
    <row r="46" spans="1:9" s="81" customFormat="1" ht="27" customHeight="1" thickBot="1" x14ac:dyDescent="0.25">
      <c r="A46" s="125" t="s">
        <v>7</v>
      </c>
      <c r="B46" s="113">
        <f t="shared" ref="B46:G46" si="4">B47+B48+B50+B51+B54+B55+B56+B57+B58</f>
        <v>6600</v>
      </c>
      <c r="C46" s="113">
        <f t="shared" si="4"/>
        <v>6600</v>
      </c>
      <c r="D46" s="113">
        <f t="shared" si="4"/>
        <v>8200</v>
      </c>
      <c r="E46" s="113">
        <f t="shared" si="4"/>
        <v>8200</v>
      </c>
      <c r="F46" s="113">
        <f t="shared" si="4"/>
        <v>9497</v>
      </c>
      <c r="G46" s="113">
        <f t="shared" si="4"/>
        <v>9722</v>
      </c>
      <c r="H46" s="235">
        <f t="shared" si="3"/>
        <v>225</v>
      </c>
      <c r="I46" s="80"/>
    </row>
    <row r="47" spans="1:9" s="82" customFormat="1" ht="26.25" thickBot="1" x14ac:dyDescent="0.25">
      <c r="A47" s="121" t="s">
        <v>55</v>
      </c>
      <c r="B47" s="112"/>
      <c r="C47" s="112"/>
      <c r="D47" s="112"/>
      <c r="E47" s="112"/>
      <c r="F47" s="112"/>
      <c r="G47" s="112"/>
      <c r="H47" s="235">
        <f t="shared" si="3"/>
        <v>0</v>
      </c>
    </row>
    <row r="48" spans="1:9" s="83" customFormat="1" ht="33.75" customHeight="1" thickBot="1" x14ac:dyDescent="0.25">
      <c r="A48" s="121" t="s">
        <v>56</v>
      </c>
      <c r="B48" s="112">
        <v>250</v>
      </c>
      <c r="C48" s="112">
        <v>250</v>
      </c>
      <c r="D48" s="112">
        <v>250</v>
      </c>
      <c r="E48" s="112">
        <v>250</v>
      </c>
      <c r="F48" s="112">
        <f>250+1281</f>
        <v>1531</v>
      </c>
      <c r="G48" s="112">
        <f>250+1281</f>
        <v>1531</v>
      </c>
      <c r="H48" s="235">
        <f t="shared" si="3"/>
        <v>0</v>
      </c>
    </row>
    <row r="49" spans="1:9" s="83" customFormat="1" ht="22.5" customHeight="1" thickBot="1" x14ac:dyDescent="0.25">
      <c r="A49" s="121" t="s">
        <v>121</v>
      </c>
      <c r="B49" s="112"/>
      <c r="C49" s="112"/>
      <c r="D49" s="112"/>
      <c r="E49" s="112"/>
      <c r="F49" s="112"/>
      <c r="G49" s="112"/>
      <c r="H49" s="235">
        <f>G49-F49</f>
        <v>0</v>
      </c>
    </row>
    <row r="50" spans="1:9" s="83" customFormat="1" ht="26.25" thickBot="1" x14ac:dyDescent="0.25">
      <c r="A50" s="122" t="s">
        <v>57</v>
      </c>
      <c r="B50" s="112">
        <v>2500</v>
      </c>
      <c r="C50" s="112">
        <v>2500</v>
      </c>
      <c r="D50" s="112">
        <v>2500</v>
      </c>
      <c r="E50" s="112">
        <v>2500</v>
      </c>
      <c r="F50" s="112">
        <f>2500+718</f>
        <v>3218</v>
      </c>
      <c r="G50" s="112">
        <f>2500+718</f>
        <v>3218</v>
      </c>
      <c r="H50" s="235">
        <f t="shared" si="3"/>
        <v>0</v>
      </c>
    </row>
    <row r="51" spans="1:9" s="83" customFormat="1" ht="24.75" customHeight="1" thickBot="1" x14ac:dyDescent="0.25">
      <c r="A51" s="126" t="s">
        <v>58</v>
      </c>
      <c r="B51" s="111">
        <v>2000</v>
      </c>
      <c r="C51" s="111">
        <v>2000</v>
      </c>
      <c r="D51" s="111">
        <f>1600+2000</f>
        <v>3600</v>
      </c>
      <c r="E51" s="111">
        <f>1600+2000</f>
        <v>3600</v>
      </c>
      <c r="F51" s="112">
        <f>3600-1496</f>
        <v>2104</v>
      </c>
      <c r="G51" s="112">
        <f>3600-1496</f>
        <v>2104</v>
      </c>
      <c r="H51" s="235">
        <f t="shared" si="3"/>
        <v>0</v>
      </c>
    </row>
    <row r="52" spans="1:9" s="83" customFormat="1" ht="24.75" customHeight="1" thickBot="1" x14ac:dyDescent="0.25">
      <c r="A52" s="127" t="s">
        <v>59</v>
      </c>
      <c r="B52" s="112"/>
      <c r="C52" s="112"/>
      <c r="D52" s="112"/>
      <c r="E52" s="112"/>
      <c r="F52" s="112"/>
      <c r="G52" s="112"/>
      <c r="H52" s="235">
        <f t="shared" si="3"/>
        <v>0</v>
      </c>
    </row>
    <row r="53" spans="1:9" s="83" customFormat="1" ht="24.75" customHeight="1" thickBot="1" x14ac:dyDescent="0.25">
      <c r="A53" s="127" t="s">
        <v>60</v>
      </c>
      <c r="B53" s="112"/>
      <c r="C53" s="112"/>
      <c r="D53" s="112"/>
      <c r="E53" s="112"/>
      <c r="F53" s="112"/>
      <c r="G53" s="112"/>
      <c r="H53" s="235">
        <f t="shared" si="3"/>
        <v>0</v>
      </c>
    </row>
    <row r="54" spans="1:9" s="83" customFormat="1" ht="24.75" customHeight="1" thickBot="1" x14ac:dyDescent="0.25">
      <c r="A54" s="127" t="s">
        <v>61</v>
      </c>
      <c r="B54" s="112">
        <v>700</v>
      </c>
      <c r="C54" s="112">
        <v>700</v>
      </c>
      <c r="D54" s="112">
        <v>700</v>
      </c>
      <c r="E54" s="112">
        <v>700</v>
      </c>
      <c r="F54" s="112">
        <f>700-31</f>
        <v>669</v>
      </c>
      <c r="G54" s="112">
        <f>700-31</f>
        <v>669</v>
      </c>
      <c r="H54" s="235">
        <f t="shared" si="3"/>
        <v>0</v>
      </c>
    </row>
    <row r="55" spans="1:9" s="83" customFormat="1" ht="24" customHeight="1" thickBot="1" x14ac:dyDescent="0.25">
      <c r="A55" s="121" t="s">
        <v>62</v>
      </c>
      <c r="B55" s="112">
        <v>1000</v>
      </c>
      <c r="C55" s="112">
        <v>1000</v>
      </c>
      <c r="D55" s="112">
        <v>1000</v>
      </c>
      <c r="E55" s="112">
        <v>1000</v>
      </c>
      <c r="F55" s="112">
        <f>1000+816</f>
        <v>1816</v>
      </c>
      <c r="G55" s="112">
        <f>1000+816</f>
        <v>1816</v>
      </c>
      <c r="H55" s="235">
        <f t="shared" si="3"/>
        <v>0</v>
      </c>
    </row>
    <row r="56" spans="1:9" s="83" customFormat="1" ht="24" customHeight="1" thickBot="1" x14ac:dyDescent="0.25">
      <c r="A56" s="121" t="s">
        <v>63</v>
      </c>
      <c r="B56" s="112"/>
      <c r="C56" s="112"/>
      <c r="D56" s="112"/>
      <c r="E56" s="112"/>
      <c r="F56" s="112"/>
      <c r="G56" s="112"/>
      <c r="H56" s="235">
        <f t="shared" si="3"/>
        <v>0</v>
      </c>
    </row>
    <row r="57" spans="1:9" s="83" customFormat="1" ht="15" customHeight="1" thickBot="1" x14ac:dyDescent="0.25">
      <c r="A57" s="121" t="s">
        <v>64</v>
      </c>
      <c r="B57" s="112">
        <v>150</v>
      </c>
      <c r="C57" s="112">
        <v>150</v>
      </c>
      <c r="D57" s="112">
        <v>150</v>
      </c>
      <c r="E57" s="112">
        <v>150</v>
      </c>
      <c r="F57" s="112">
        <f>150+9</f>
        <v>159</v>
      </c>
      <c r="G57" s="112">
        <f>150+9</f>
        <v>159</v>
      </c>
      <c r="H57" s="235">
        <f t="shared" si="3"/>
        <v>0</v>
      </c>
    </row>
    <row r="58" spans="1:9" s="83" customFormat="1" ht="35.25" customHeight="1" thickBot="1" x14ac:dyDescent="0.25">
      <c r="A58" s="128" t="s">
        <v>243</v>
      </c>
      <c r="B58" s="112"/>
      <c r="C58" s="112"/>
      <c r="D58" s="112"/>
      <c r="E58" s="112"/>
      <c r="F58" s="112"/>
      <c r="G58" s="112">
        <f>150+75</f>
        <v>225</v>
      </c>
      <c r="H58" s="235">
        <f t="shared" si="3"/>
        <v>225</v>
      </c>
    </row>
    <row r="59" spans="1:9" s="81" customFormat="1" ht="24.75" customHeight="1" thickBot="1" x14ac:dyDescent="0.25">
      <c r="A59" s="120" t="s">
        <v>8</v>
      </c>
      <c r="B59" s="109">
        <f t="shared" ref="B59:G59" si="5">SUM(B60:B64)</f>
        <v>5000</v>
      </c>
      <c r="C59" s="109">
        <f t="shared" si="5"/>
        <v>5000</v>
      </c>
      <c r="D59" s="109">
        <f t="shared" si="5"/>
        <v>5000</v>
      </c>
      <c r="E59" s="109">
        <f t="shared" si="5"/>
        <v>5000</v>
      </c>
      <c r="F59" s="109">
        <f t="shared" si="5"/>
        <v>0</v>
      </c>
      <c r="G59" s="109">
        <f t="shared" si="5"/>
        <v>0</v>
      </c>
      <c r="H59" s="235">
        <f t="shared" si="3"/>
        <v>0</v>
      </c>
      <c r="I59" s="80"/>
    </row>
    <row r="60" spans="1:9" s="81" customFormat="1" ht="27.75" customHeight="1" thickBot="1" x14ac:dyDescent="0.25">
      <c r="A60" s="122" t="s">
        <v>65</v>
      </c>
      <c r="B60" s="113"/>
      <c r="C60" s="113"/>
      <c r="D60" s="113"/>
      <c r="E60" s="113"/>
      <c r="F60" s="113"/>
      <c r="G60" s="113"/>
      <c r="H60" s="235">
        <f t="shared" si="3"/>
        <v>0</v>
      </c>
      <c r="I60" s="80"/>
    </row>
    <row r="61" spans="1:9" s="83" customFormat="1" ht="14.25" customHeight="1" thickBot="1" x14ac:dyDescent="0.25">
      <c r="A61" s="122" t="s">
        <v>66</v>
      </c>
      <c r="B61" s="112">
        <v>5000</v>
      </c>
      <c r="C61" s="112">
        <v>5000</v>
      </c>
      <c r="D61" s="112">
        <v>5000</v>
      </c>
      <c r="E61" s="112">
        <v>5000</v>
      </c>
      <c r="F61" s="112">
        <v>0</v>
      </c>
      <c r="G61" s="112">
        <v>0</v>
      </c>
      <c r="H61" s="235">
        <f t="shared" si="3"/>
        <v>0</v>
      </c>
    </row>
    <row r="62" spans="1:9" s="83" customFormat="1" ht="27" customHeight="1" thickBot="1" x14ac:dyDescent="0.25">
      <c r="A62" s="129" t="s">
        <v>67</v>
      </c>
      <c r="B62" s="112"/>
      <c r="C62" s="112"/>
      <c r="D62" s="112"/>
      <c r="E62" s="112"/>
      <c r="F62" s="112"/>
      <c r="G62" s="112"/>
      <c r="H62" s="235">
        <f t="shared" si="3"/>
        <v>0</v>
      </c>
    </row>
    <row r="63" spans="1:9" s="83" customFormat="1" ht="26.25" thickBot="1" x14ac:dyDescent="0.25">
      <c r="A63" s="122" t="s">
        <v>68</v>
      </c>
      <c r="B63" s="111"/>
      <c r="C63" s="112"/>
      <c r="D63" s="112"/>
      <c r="E63" s="112"/>
      <c r="F63" s="112"/>
      <c r="G63" s="112"/>
      <c r="H63" s="235">
        <f t="shared" si="3"/>
        <v>0</v>
      </c>
    </row>
    <row r="64" spans="1:9" s="83" customFormat="1" ht="39" thickBot="1" x14ac:dyDescent="0.25">
      <c r="A64" s="122" t="s">
        <v>69</v>
      </c>
      <c r="B64" s="112"/>
      <c r="C64" s="112"/>
      <c r="D64" s="112"/>
      <c r="E64" s="112"/>
      <c r="F64" s="112"/>
      <c r="G64" s="112"/>
      <c r="H64" s="235">
        <f t="shared" si="3"/>
        <v>0</v>
      </c>
    </row>
    <row r="65" spans="1:11" s="81" customFormat="1" ht="26.25" thickBot="1" x14ac:dyDescent="0.25">
      <c r="A65" s="125" t="s">
        <v>9</v>
      </c>
      <c r="B65" s="113">
        <f t="shared" ref="B65:G65" si="6">SUM(B66:B68)</f>
        <v>0</v>
      </c>
      <c r="C65" s="113">
        <f t="shared" si="6"/>
        <v>0</v>
      </c>
      <c r="D65" s="113">
        <f t="shared" si="6"/>
        <v>0</v>
      </c>
      <c r="E65" s="113">
        <f t="shared" si="6"/>
        <v>0</v>
      </c>
      <c r="F65" s="113">
        <f t="shared" si="6"/>
        <v>20</v>
      </c>
      <c r="G65" s="113">
        <f t="shared" si="6"/>
        <v>20</v>
      </c>
      <c r="H65" s="235">
        <f t="shared" si="3"/>
        <v>0</v>
      </c>
      <c r="I65" s="80"/>
    </row>
    <row r="66" spans="1:11" s="81" customFormat="1" ht="51.75" thickBot="1" x14ac:dyDescent="0.25">
      <c r="A66" s="122" t="s">
        <v>70</v>
      </c>
      <c r="B66" s="113"/>
      <c r="C66" s="113"/>
      <c r="D66" s="113"/>
      <c r="E66" s="113"/>
      <c r="F66" s="113"/>
      <c r="G66" s="113"/>
      <c r="H66" s="235">
        <f>G66-F66</f>
        <v>0</v>
      </c>
      <c r="I66" s="80"/>
    </row>
    <row r="67" spans="1:11" s="83" customFormat="1" ht="51.75" customHeight="1" thickBot="1" x14ac:dyDescent="0.25">
      <c r="A67" s="122" t="s">
        <v>71</v>
      </c>
      <c r="B67" s="112"/>
      <c r="C67" s="112"/>
      <c r="D67" s="112"/>
      <c r="E67" s="112"/>
      <c r="F67" s="112"/>
      <c r="G67" s="112"/>
      <c r="H67" s="235">
        <f t="shared" si="3"/>
        <v>0</v>
      </c>
      <c r="I67" s="84"/>
    </row>
    <row r="68" spans="1:11" s="83" customFormat="1" ht="27" customHeight="1" thickBot="1" x14ac:dyDescent="0.25">
      <c r="A68" s="130" t="s">
        <v>72</v>
      </c>
      <c r="B68" s="124"/>
      <c r="C68" s="124"/>
      <c r="D68" s="117"/>
      <c r="E68" s="117"/>
      <c r="F68" s="117">
        <v>20</v>
      </c>
      <c r="G68" s="117">
        <v>20</v>
      </c>
      <c r="H68" s="235">
        <f t="shared" si="3"/>
        <v>0</v>
      </c>
    </row>
    <row r="69" spans="1:11" s="83" customFormat="1" ht="28.5" customHeight="1" thickBot="1" x14ac:dyDescent="0.25">
      <c r="A69" s="181" t="s">
        <v>241</v>
      </c>
      <c r="B69" s="486" t="s">
        <v>28</v>
      </c>
      <c r="C69" s="486"/>
      <c r="D69" s="486"/>
      <c r="E69" s="486"/>
      <c r="F69" s="486"/>
      <c r="G69" s="486"/>
      <c r="H69" s="486"/>
    </row>
    <row r="70" spans="1:11" s="75" customFormat="1" ht="54.75" customHeight="1" thickBot="1" x14ac:dyDescent="0.25">
      <c r="A70" s="195"/>
      <c r="B70" s="193" t="s">
        <v>391</v>
      </c>
      <c r="C70" s="194" t="s">
        <v>392</v>
      </c>
      <c r="D70" s="452" t="s">
        <v>409</v>
      </c>
      <c r="E70" s="430" t="s">
        <v>416</v>
      </c>
      <c r="F70" s="452" t="s">
        <v>420</v>
      </c>
      <c r="G70" s="452" t="s">
        <v>424</v>
      </c>
      <c r="H70" s="507" t="s">
        <v>393</v>
      </c>
    </row>
    <row r="71" spans="1:11" s="81" customFormat="1" ht="25.5" x14ac:dyDescent="0.2">
      <c r="A71" s="246" t="s">
        <v>10</v>
      </c>
      <c r="B71" s="235">
        <f t="shared" ref="B71:G71" si="7">SUM(B72:B74)</f>
        <v>0</v>
      </c>
      <c r="C71" s="442">
        <f t="shared" si="7"/>
        <v>0</v>
      </c>
      <c r="D71" s="442">
        <f t="shared" si="7"/>
        <v>1915</v>
      </c>
      <c r="E71" s="442">
        <f t="shared" si="7"/>
        <v>1915</v>
      </c>
      <c r="F71" s="442">
        <f t="shared" si="7"/>
        <v>1915</v>
      </c>
      <c r="G71" s="209">
        <f t="shared" si="7"/>
        <v>1915</v>
      </c>
      <c r="H71" s="209">
        <f>G71-F71</f>
        <v>0</v>
      </c>
    </row>
    <row r="72" spans="1:11" s="83" customFormat="1" ht="64.5" thickBot="1" x14ac:dyDescent="0.25">
      <c r="A72" s="122" t="s">
        <v>73</v>
      </c>
      <c r="B72" s="112"/>
      <c r="C72" s="443"/>
      <c r="D72" s="210"/>
      <c r="E72" s="449"/>
      <c r="F72" s="449"/>
      <c r="G72" s="477"/>
      <c r="H72" s="505">
        <f t="shared" ref="H72:H96" si="8">G72-F72</f>
        <v>0</v>
      </c>
    </row>
    <row r="73" spans="1:11" s="83" customFormat="1" ht="51" x14ac:dyDescent="0.2">
      <c r="A73" s="122" t="s">
        <v>74</v>
      </c>
      <c r="B73" s="112"/>
      <c r="C73" s="443"/>
      <c r="D73" s="210"/>
      <c r="E73" s="449"/>
      <c r="F73" s="449"/>
      <c r="G73" s="479"/>
      <c r="H73" s="503">
        <f t="shared" si="8"/>
        <v>0</v>
      </c>
    </row>
    <row r="74" spans="1:11" s="83" customFormat="1" ht="25.5" x14ac:dyDescent="0.2">
      <c r="A74" s="122" t="s">
        <v>75</v>
      </c>
      <c r="B74" s="112"/>
      <c r="C74" s="444"/>
      <c r="D74" s="479">
        <f>500+D75</f>
        <v>1915</v>
      </c>
      <c r="E74" s="484">
        <f>500+E75</f>
        <v>1915</v>
      </c>
      <c r="F74" s="449">
        <v>1915</v>
      </c>
      <c r="G74" s="210">
        <v>1915</v>
      </c>
      <c r="H74" s="209">
        <f t="shared" si="8"/>
        <v>0</v>
      </c>
    </row>
    <row r="75" spans="1:11" s="83" customFormat="1" ht="25.5" x14ac:dyDescent="0.2">
      <c r="A75" s="123" t="s">
        <v>414</v>
      </c>
      <c r="B75" s="443"/>
      <c r="C75" s="210"/>
      <c r="D75" s="479">
        <v>1415</v>
      </c>
      <c r="E75" s="484">
        <v>1415</v>
      </c>
      <c r="F75" s="449">
        <v>1415</v>
      </c>
      <c r="G75" s="210">
        <v>1415</v>
      </c>
      <c r="H75" s="209">
        <f t="shared" si="8"/>
        <v>0</v>
      </c>
    </row>
    <row r="76" spans="1:11" s="81" customFormat="1" ht="25.5" x14ac:dyDescent="0.2">
      <c r="A76" s="120" t="s">
        <v>11</v>
      </c>
      <c r="B76" s="109">
        <f t="shared" ref="B76:G76" si="9">B71+B65+B59+B46+B32+B20+B5</f>
        <v>62148</v>
      </c>
      <c r="C76" s="480">
        <f t="shared" si="9"/>
        <v>63451</v>
      </c>
      <c r="D76" s="209">
        <f t="shared" si="9"/>
        <v>80084</v>
      </c>
      <c r="E76" s="446">
        <f t="shared" si="9"/>
        <v>80084</v>
      </c>
      <c r="F76" s="446">
        <f t="shared" si="9"/>
        <v>91377</v>
      </c>
      <c r="G76" s="209">
        <f t="shared" si="9"/>
        <v>91632</v>
      </c>
      <c r="H76" s="209">
        <f t="shared" si="8"/>
        <v>255</v>
      </c>
      <c r="I76" s="80"/>
      <c r="K76" s="80" t="e">
        <f>#REF!+#REF!+#REF!</f>
        <v>#REF!</v>
      </c>
    </row>
    <row r="77" spans="1:11" s="81" customFormat="1" ht="25.5" x14ac:dyDescent="0.2">
      <c r="A77" s="131" t="s">
        <v>12</v>
      </c>
      <c r="B77" s="109"/>
      <c r="C77" s="419"/>
      <c r="D77" s="481"/>
      <c r="E77" s="446"/>
      <c r="F77" s="446"/>
      <c r="G77" s="481"/>
      <c r="H77" s="506">
        <f t="shared" si="8"/>
        <v>0</v>
      </c>
      <c r="I77" s="80"/>
      <c r="K77" s="80"/>
    </row>
    <row r="78" spans="1:11" s="81" customFormat="1" ht="46.5" customHeight="1" x14ac:dyDescent="0.2">
      <c r="A78" s="131" t="s">
        <v>76</v>
      </c>
      <c r="B78" s="109">
        <f t="shared" ref="B78:G78" si="10">SUM(B79:B80)</f>
        <v>5000</v>
      </c>
      <c r="C78" s="419">
        <f t="shared" si="10"/>
        <v>5000</v>
      </c>
      <c r="D78" s="209">
        <f t="shared" si="10"/>
        <v>5474</v>
      </c>
      <c r="E78" s="446">
        <f t="shared" si="10"/>
        <v>5474</v>
      </c>
      <c r="F78" s="446">
        <f t="shared" si="10"/>
        <v>5474</v>
      </c>
      <c r="G78" s="209">
        <f t="shared" si="10"/>
        <v>5474</v>
      </c>
      <c r="H78" s="209">
        <f t="shared" si="8"/>
        <v>0</v>
      </c>
      <c r="I78" s="80"/>
    </row>
    <row r="79" spans="1:11" s="83" customFormat="1" ht="51" x14ac:dyDescent="0.2">
      <c r="A79" s="131" t="s">
        <v>119</v>
      </c>
      <c r="B79" s="112">
        <v>5000</v>
      </c>
      <c r="C79" s="443">
        <v>5000</v>
      </c>
      <c r="D79" s="210">
        <f>5000+474</f>
        <v>5474</v>
      </c>
      <c r="E79" s="449">
        <f>5000+474</f>
        <v>5474</v>
      </c>
      <c r="F79" s="449">
        <v>5474</v>
      </c>
      <c r="G79" s="210">
        <v>5474</v>
      </c>
      <c r="H79" s="209">
        <f t="shared" si="8"/>
        <v>0</v>
      </c>
      <c r="I79" s="84"/>
    </row>
    <row r="80" spans="1:11" s="83" customFormat="1" ht="51" x14ac:dyDescent="0.2">
      <c r="A80" s="122" t="s">
        <v>77</v>
      </c>
      <c r="B80" s="112"/>
      <c r="C80" s="444"/>
      <c r="D80" s="478"/>
      <c r="E80" s="449"/>
      <c r="F80" s="449"/>
      <c r="G80" s="210"/>
      <c r="H80" s="209">
        <f t="shared" si="8"/>
        <v>0</v>
      </c>
    </row>
    <row r="81" spans="1:9" s="81" customFormat="1" ht="51" x14ac:dyDescent="0.2">
      <c r="A81" s="132" t="s">
        <v>78</v>
      </c>
      <c r="B81" s="114">
        <f>B82+B86+B91+B92</f>
        <v>25380</v>
      </c>
      <c r="C81" s="445">
        <f t="shared" ref="C81:G81" si="11">C82+C86+C91+C92</f>
        <v>25799</v>
      </c>
      <c r="D81" s="209">
        <f t="shared" si="11"/>
        <v>25799</v>
      </c>
      <c r="E81" s="446">
        <f t="shared" si="11"/>
        <v>25799</v>
      </c>
      <c r="F81" s="446">
        <f t="shared" si="11"/>
        <v>25799</v>
      </c>
      <c r="G81" s="209">
        <f t="shared" si="11"/>
        <v>26501</v>
      </c>
      <c r="H81" s="209">
        <f t="shared" si="8"/>
        <v>702</v>
      </c>
      <c r="I81" s="85"/>
    </row>
    <row r="82" spans="1:9" s="81" customFormat="1" ht="26.25" thickBot="1" x14ac:dyDescent="0.25">
      <c r="A82" s="120" t="s">
        <v>344</v>
      </c>
      <c r="B82" s="207">
        <f t="shared" ref="B82:G82" si="12">SUM(B83:B85)</f>
        <v>0</v>
      </c>
      <c r="C82" s="446">
        <f t="shared" si="12"/>
        <v>0</v>
      </c>
      <c r="D82" s="209">
        <f t="shared" si="12"/>
        <v>0</v>
      </c>
      <c r="E82" s="446">
        <f t="shared" si="12"/>
        <v>0</v>
      </c>
      <c r="F82" s="446">
        <f t="shared" si="12"/>
        <v>0</v>
      </c>
      <c r="G82" s="504">
        <f t="shared" si="12"/>
        <v>0</v>
      </c>
      <c r="H82" s="505">
        <f t="shared" si="8"/>
        <v>0</v>
      </c>
      <c r="I82" s="85"/>
    </row>
    <row r="83" spans="1:9" s="83" customFormat="1" ht="26.25" thickBot="1" x14ac:dyDescent="0.25">
      <c r="A83" s="123" t="s">
        <v>345</v>
      </c>
      <c r="B83" s="115"/>
      <c r="C83" s="447"/>
      <c r="D83" s="477"/>
      <c r="E83" s="449"/>
      <c r="F83" s="449"/>
      <c r="G83" s="210"/>
      <c r="H83" s="451">
        <f t="shared" si="8"/>
        <v>0</v>
      </c>
      <c r="I83" s="85"/>
    </row>
    <row r="84" spans="1:9" s="83" customFormat="1" ht="39" thickBot="1" x14ac:dyDescent="0.25">
      <c r="A84" s="123" t="s">
        <v>346</v>
      </c>
      <c r="B84" s="114"/>
      <c r="C84" s="446"/>
      <c r="D84" s="209"/>
      <c r="E84" s="446"/>
      <c r="F84" s="446"/>
      <c r="G84" s="209"/>
      <c r="H84" s="451">
        <f t="shared" si="8"/>
        <v>0</v>
      </c>
      <c r="I84" s="85"/>
    </row>
    <row r="85" spans="1:9" s="83" customFormat="1" ht="25.5" x14ac:dyDescent="0.2">
      <c r="A85" s="123" t="s">
        <v>347</v>
      </c>
      <c r="B85" s="114"/>
      <c r="C85" s="448"/>
      <c r="D85" s="476"/>
      <c r="E85" s="446"/>
      <c r="F85" s="446"/>
      <c r="G85" s="476"/>
      <c r="H85" s="503">
        <f t="shared" si="8"/>
        <v>0</v>
      </c>
      <c r="I85" s="85"/>
    </row>
    <row r="86" spans="1:9" s="81" customFormat="1" ht="27" customHeight="1" x14ac:dyDescent="0.2">
      <c r="A86" s="120" t="s">
        <v>348</v>
      </c>
      <c r="B86" s="208">
        <f>SUM(B87:B90)</f>
        <v>0</v>
      </c>
      <c r="C86" s="446">
        <f t="shared" ref="C86:G86" si="13">SUM(C87:C90)</f>
        <v>0</v>
      </c>
      <c r="D86" s="209">
        <f t="shared" si="13"/>
        <v>0</v>
      </c>
      <c r="E86" s="446">
        <f t="shared" si="13"/>
        <v>0</v>
      </c>
      <c r="F86" s="446">
        <f t="shared" si="13"/>
        <v>0</v>
      </c>
      <c r="G86" s="209">
        <f t="shared" si="13"/>
        <v>0</v>
      </c>
      <c r="H86" s="209">
        <f t="shared" si="8"/>
        <v>0</v>
      </c>
    </row>
    <row r="87" spans="1:9" s="83" customFormat="1" ht="39" thickBot="1" x14ac:dyDescent="0.25">
      <c r="A87" s="381" t="s">
        <v>349</v>
      </c>
      <c r="B87" s="112"/>
      <c r="C87" s="444"/>
      <c r="D87" s="477"/>
      <c r="E87" s="449"/>
      <c r="F87" s="449"/>
      <c r="G87" s="477"/>
      <c r="H87" s="505">
        <f t="shared" si="8"/>
        <v>0</v>
      </c>
    </row>
    <row r="88" spans="1:9" s="83" customFormat="1" ht="26.25" thickBot="1" x14ac:dyDescent="0.25">
      <c r="A88" s="382" t="s">
        <v>350</v>
      </c>
      <c r="B88" s="116"/>
      <c r="C88" s="449"/>
      <c r="D88" s="210"/>
      <c r="E88" s="449"/>
      <c r="F88" s="449"/>
      <c r="G88" s="210"/>
      <c r="H88" s="451">
        <f t="shared" si="8"/>
        <v>0</v>
      </c>
    </row>
    <row r="89" spans="1:9" s="81" customFormat="1" ht="39" thickBot="1" x14ac:dyDescent="0.25">
      <c r="A89" s="383" t="s">
        <v>351</v>
      </c>
      <c r="B89" s="118"/>
      <c r="C89" s="443"/>
      <c r="D89" s="210"/>
      <c r="E89" s="449"/>
      <c r="F89" s="449"/>
      <c r="G89" s="210"/>
      <c r="H89" s="451">
        <f t="shared" si="8"/>
        <v>0</v>
      </c>
    </row>
    <row r="90" spans="1:9" s="81" customFormat="1" ht="39" thickBot="1" x14ac:dyDescent="0.25">
      <c r="A90" s="383" t="s">
        <v>352</v>
      </c>
      <c r="B90" s="116"/>
      <c r="C90" s="444"/>
      <c r="D90" s="479"/>
      <c r="E90" s="449"/>
      <c r="F90" s="449"/>
      <c r="G90" s="210"/>
      <c r="H90" s="451">
        <f>G90-F90</f>
        <v>0</v>
      </c>
    </row>
    <row r="91" spans="1:9" s="81" customFormat="1" ht="25.5" customHeight="1" thickBot="1" x14ac:dyDescent="0.25">
      <c r="A91" s="254" t="s">
        <v>353</v>
      </c>
      <c r="B91" s="212">
        <v>25000</v>
      </c>
      <c r="C91" s="446">
        <v>25000</v>
      </c>
      <c r="D91" s="209">
        <v>25000</v>
      </c>
      <c r="E91" s="446">
        <v>25000</v>
      </c>
      <c r="F91" s="446">
        <v>25000</v>
      </c>
      <c r="G91" s="446">
        <v>25000</v>
      </c>
      <c r="H91" s="451">
        <f t="shared" si="8"/>
        <v>0</v>
      </c>
    </row>
    <row r="92" spans="1:9" s="81" customFormat="1" ht="25.5" customHeight="1" thickBot="1" x14ac:dyDescent="0.25">
      <c r="A92" s="254" t="s">
        <v>354</v>
      </c>
      <c r="B92" s="212">
        <v>380</v>
      </c>
      <c r="C92" s="448">
        <f>380+419</f>
        <v>799</v>
      </c>
      <c r="D92" s="209">
        <f>380+419</f>
        <v>799</v>
      </c>
      <c r="E92" s="446">
        <f>380+419</f>
        <v>799</v>
      </c>
      <c r="F92" s="446">
        <f>380+419</f>
        <v>799</v>
      </c>
      <c r="G92" s="446">
        <f>799+702</f>
        <v>1501</v>
      </c>
      <c r="H92" s="451">
        <f t="shared" si="8"/>
        <v>702</v>
      </c>
    </row>
    <row r="93" spans="1:9" s="81" customFormat="1" ht="27" customHeight="1" thickBot="1" x14ac:dyDescent="0.25">
      <c r="A93" s="133" t="s">
        <v>79</v>
      </c>
      <c r="B93" s="418">
        <f>B81+B78</f>
        <v>30380</v>
      </c>
      <c r="C93" s="446">
        <f t="shared" ref="C93" si="14">C81+C78</f>
        <v>30799</v>
      </c>
      <c r="D93" s="209">
        <f>D81+D78</f>
        <v>31273</v>
      </c>
      <c r="E93" s="446">
        <f>E81+E78</f>
        <v>31273</v>
      </c>
      <c r="F93" s="446">
        <f>F81+F78</f>
        <v>31273</v>
      </c>
      <c r="G93" s="446">
        <f>G81+G78</f>
        <v>31975</v>
      </c>
      <c r="H93" s="451">
        <f t="shared" si="8"/>
        <v>702</v>
      </c>
    </row>
    <row r="94" spans="1:9" s="81" customFormat="1" ht="15" customHeight="1" thickBot="1" x14ac:dyDescent="0.25">
      <c r="A94" s="120" t="s">
        <v>80</v>
      </c>
      <c r="B94" s="419">
        <f t="shared" ref="B94:G94" si="15">B76+B93</f>
        <v>92528</v>
      </c>
      <c r="C94" s="446">
        <f t="shared" si="15"/>
        <v>94250</v>
      </c>
      <c r="D94" s="209">
        <f t="shared" si="15"/>
        <v>111357</v>
      </c>
      <c r="E94" s="446">
        <f t="shared" si="15"/>
        <v>111357</v>
      </c>
      <c r="F94" s="446">
        <f t="shared" si="15"/>
        <v>122650</v>
      </c>
      <c r="G94" s="446">
        <f t="shared" si="15"/>
        <v>123607</v>
      </c>
      <c r="H94" s="451">
        <f t="shared" si="8"/>
        <v>957</v>
      </c>
      <c r="I94" s="80"/>
    </row>
    <row r="95" spans="1:9" ht="13.5" thickBot="1" x14ac:dyDescent="0.25">
      <c r="A95" s="223" t="s">
        <v>256</v>
      </c>
      <c r="B95" s="106">
        <v>8</v>
      </c>
      <c r="C95" s="108">
        <v>8</v>
      </c>
      <c r="D95" s="453">
        <v>8</v>
      </c>
      <c r="E95" s="485">
        <v>8</v>
      </c>
      <c r="F95" s="485">
        <v>8</v>
      </c>
      <c r="G95" s="485">
        <v>8</v>
      </c>
      <c r="H95" s="451">
        <f t="shared" si="8"/>
        <v>0</v>
      </c>
    </row>
    <row r="96" spans="1:9" ht="13.5" thickBot="1" x14ac:dyDescent="0.25">
      <c r="A96" s="247" t="s">
        <v>81</v>
      </c>
      <c r="B96" s="248">
        <v>2</v>
      </c>
      <c r="C96" s="450">
        <v>2</v>
      </c>
      <c r="D96" s="453">
        <v>2</v>
      </c>
      <c r="E96" s="485">
        <v>2</v>
      </c>
      <c r="F96" s="485">
        <v>2</v>
      </c>
      <c r="G96" s="485">
        <v>2</v>
      </c>
      <c r="H96" s="451">
        <f t="shared" si="8"/>
        <v>0</v>
      </c>
      <c r="I96" s="86"/>
    </row>
  </sheetData>
  <sheetProtection selectLockedCells="1" selectUnlockedCells="1"/>
  <mergeCells count="3">
    <mergeCell ref="B3:H3"/>
    <mergeCell ref="B69:H69"/>
    <mergeCell ref="B30:H30"/>
  </mergeCells>
  <phoneticPr fontId="27" type="noConversion"/>
  <printOptions horizontalCentered="1" gridLines="1"/>
  <pageMargins left="0.62437500000000001" right="0.43307086614173229" top="0.98425196850393704" bottom="0.23622047244094491" header="0.27559055118110237" footer="0.51181102362204722"/>
  <pageSetup paperSize="9" scale="54" firstPageNumber="0" fitToHeight="0" orientation="portrait" r:id="rId1"/>
  <headerFooter alignWithMargins="0">
    <oddHeader>&amp;LPécsely Község Önkormányzata&amp;C&amp;"Arial,Félkövér"&amp;12BEVÉTELEK ELŐIRÁNYZATA 2016. ÉV
2. melléklet a .../2017. (......) rendelethez&amp;R&amp;12&amp;P. oldalezer forint</oddHeader>
  </headerFooter>
  <rowBreaks count="2" manualBreakCount="2">
    <brk id="29" max="16" man="1"/>
    <brk id="6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view="pageLayout" topLeftCell="A34" workbookViewId="0">
      <selection activeCell="B7" sqref="B7"/>
    </sheetView>
  </sheetViews>
  <sheetFormatPr defaultRowHeight="14.25" x14ac:dyDescent="0.2"/>
  <cols>
    <col min="1" max="1" width="77.5703125" style="269" customWidth="1"/>
    <col min="2" max="2" width="10.5703125" style="269" customWidth="1"/>
    <col min="3" max="3" width="9.140625" style="269"/>
    <col min="4" max="4" width="11" style="269" bestFit="1" customWidth="1"/>
    <col min="5" max="5" width="15.28515625" style="269" customWidth="1"/>
    <col min="257" max="257" width="77.5703125" customWidth="1"/>
    <col min="258" max="258" width="8.42578125" customWidth="1"/>
    <col min="260" max="260" width="11" bestFit="1" customWidth="1"/>
    <col min="261" max="261" width="15.28515625" customWidth="1"/>
    <col min="513" max="513" width="77.5703125" customWidth="1"/>
    <col min="514" max="514" width="8.42578125" customWidth="1"/>
    <col min="516" max="516" width="11" bestFit="1" customWidth="1"/>
    <col min="517" max="517" width="15.28515625" customWidth="1"/>
    <col min="769" max="769" width="77.5703125" customWidth="1"/>
    <col min="770" max="770" width="8.42578125" customWidth="1"/>
    <col min="772" max="772" width="11" bestFit="1" customWidth="1"/>
    <col min="773" max="773" width="15.28515625" customWidth="1"/>
    <col min="1025" max="1025" width="77.5703125" customWidth="1"/>
    <col min="1026" max="1026" width="8.42578125" customWidth="1"/>
    <col min="1028" max="1028" width="11" bestFit="1" customWidth="1"/>
    <col min="1029" max="1029" width="15.28515625" customWidth="1"/>
    <col min="1281" max="1281" width="77.5703125" customWidth="1"/>
    <col min="1282" max="1282" width="8.42578125" customWidth="1"/>
    <col min="1284" max="1284" width="11" bestFit="1" customWidth="1"/>
    <col min="1285" max="1285" width="15.28515625" customWidth="1"/>
    <col min="1537" max="1537" width="77.5703125" customWidth="1"/>
    <col min="1538" max="1538" width="8.42578125" customWidth="1"/>
    <col min="1540" max="1540" width="11" bestFit="1" customWidth="1"/>
    <col min="1541" max="1541" width="15.28515625" customWidth="1"/>
    <col min="1793" max="1793" width="77.5703125" customWidth="1"/>
    <col min="1794" max="1794" width="8.42578125" customWidth="1"/>
    <col min="1796" max="1796" width="11" bestFit="1" customWidth="1"/>
    <col min="1797" max="1797" width="15.28515625" customWidth="1"/>
    <col min="2049" max="2049" width="77.5703125" customWidth="1"/>
    <col min="2050" max="2050" width="8.42578125" customWidth="1"/>
    <col min="2052" max="2052" width="11" bestFit="1" customWidth="1"/>
    <col min="2053" max="2053" width="15.28515625" customWidth="1"/>
    <col min="2305" max="2305" width="77.5703125" customWidth="1"/>
    <col min="2306" max="2306" width="8.42578125" customWidth="1"/>
    <col min="2308" max="2308" width="11" bestFit="1" customWidth="1"/>
    <col min="2309" max="2309" width="15.28515625" customWidth="1"/>
    <col min="2561" max="2561" width="77.5703125" customWidth="1"/>
    <col min="2562" max="2562" width="8.42578125" customWidth="1"/>
    <col min="2564" max="2564" width="11" bestFit="1" customWidth="1"/>
    <col min="2565" max="2565" width="15.28515625" customWidth="1"/>
    <col min="2817" max="2817" width="77.5703125" customWidth="1"/>
    <col min="2818" max="2818" width="8.42578125" customWidth="1"/>
    <col min="2820" max="2820" width="11" bestFit="1" customWidth="1"/>
    <col min="2821" max="2821" width="15.28515625" customWidth="1"/>
    <col min="3073" max="3073" width="77.5703125" customWidth="1"/>
    <col min="3074" max="3074" width="8.42578125" customWidth="1"/>
    <col min="3076" max="3076" width="11" bestFit="1" customWidth="1"/>
    <col min="3077" max="3077" width="15.28515625" customWidth="1"/>
    <col min="3329" max="3329" width="77.5703125" customWidth="1"/>
    <col min="3330" max="3330" width="8.42578125" customWidth="1"/>
    <col min="3332" max="3332" width="11" bestFit="1" customWidth="1"/>
    <col min="3333" max="3333" width="15.28515625" customWidth="1"/>
    <col min="3585" max="3585" width="77.5703125" customWidth="1"/>
    <col min="3586" max="3586" width="8.42578125" customWidth="1"/>
    <col min="3588" max="3588" width="11" bestFit="1" customWidth="1"/>
    <col min="3589" max="3589" width="15.28515625" customWidth="1"/>
    <col min="3841" max="3841" width="77.5703125" customWidth="1"/>
    <col min="3842" max="3842" width="8.42578125" customWidth="1"/>
    <col min="3844" max="3844" width="11" bestFit="1" customWidth="1"/>
    <col min="3845" max="3845" width="15.28515625" customWidth="1"/>
    <col min="4097" max="4097" width="77.5703125" customWidth="1"/>
    <col min="4098" max="4098" width="8.42578125" customWidth="1"/>
    <col min="4100" max="4100" width="11" bestFit="1" customWidth="1"/>
    <col min="4101" max="4101" width="15.28515625" customWidth="1"/>
    <col min="4353" max="4353" width="77.5703125" customWidth="1"/>
    <col min="4354" max="4354" width="8.42578125" customWidth="1"/>
    <col min="4356" max="4356" width="11" bestFit="1" customWidth="1"/>
    <col min="4357" max="4357" width="15.28515625" customWidth="1"/>
    <col min="4609" max="4609" width="77.5703125" customWidth="1"/>
    <col min="4610" max="4610" width="8.42578125" customWidth="1"/>
    <col min="4612" max="4612" width="11" bestFit="1" customWidth="1"/>
    <col min="4613" max="4613" width="15.28515625" customWidth="1"/>
    <col min="4865" max="4865" width="77.5703125" customWidth="1"/>
    <col min="4866" max="4866" width="8.42578125" customWidth="1"/>
    <col min="4868" max="4868" width="11" bestFit="1" customWidth="1"/>
    <col min="4869" max="4869" width="15.28515625" customWidth="1"/>
    <col min="5121" max="5121" width="77.5703125" customWidth="1"/>
    <col min="5122" max="5122" width="8.42578125" customWidth="1"/>
    <col min="5124" max="5124" width="11" bestFit="1" customWidth="1"/>
    <col min="5125" max="5125" width="15.28515625" customWidth="1"/>
    <col min="5377" max="5377" width="77.5703125" customWidth="1"/>
    <col min="5378" max="5378" width="8.42578125" customWidth="1"/>
    <col min="5380" max="5380" width="11" bestFit="1" customWidth="1"/>
    <col min="5381" max="5381" width="15.28515625" customWidth="1"/>
    <col min="5633" max="5633" width="77.5703125" customWidth="1"/>
    <col min="5634" max="5634" width="8.42578125" customWidth="1"/>
    <col min="5636" max="5636" width="11" bestFit="1" customWidth="1"/>
    <col min="5637" max="5637" width="15.28515625" customWidth="1"/>
    <col min="5889" max="5889" width="77.5703125" customWidth="1"/>
    <col min="5890" max="5890" width="8.42578125" customWidth="1"/>
    <col min="5892" max="5892" width="11" bestFit="1" customWidth="1"/>
    <col min="5893" max="5893" width="15.28515625" customWidth="1"/>
    <col min="6145" max="6145" width="77.5703125" customWidth="1"/>
    <col min="6146" max="6146" width="8.42578125" customWidth="1"/>
    <col min="6148" max="6148" width="11" bestFit="1" customWidth="1"/>
    <col min="6149" max="6149" width="15.28515625" customWidth="1"/>
    <col min="6401" max="6401" width="77.5703125" customWidth="1"/>
    <col min="6402" max="6402" width="8.42578125" customWidth="1"/>
    <col min="6404" max="6404" width="11" bestFit="1" customWidth="1"/>
    <col min="6405" max="6405" width="15.28515625" customWidth="1"/>
    <col min="6657" max="6657" width="77.5703125" customWidth="1"/>
    <col min="6658" max="6658" width="8.42578125" customWidth="1"/>
    <col min="6660" max="6660" width="11" bestFit="1" customWidth="1"/>
    <col min="6661" max="6661" width="15.28515625" customWidth="1"/>
    <col min="6913" max="6913" width="77.5703125" customWidth="1"/>
    <col min="6914" max="6914" width="8.42578125" customWidth="1"/>
    <col min="6916" max="6916" width="11" bestFit="1" customWidth="1"/>
    <col min="6917" max="6917" width="15.28515625" customWidth="1"/>
    <col min="7169" max="7169" width="77.5703125" customWidth="1"/>
    <col min="7170" max="7170" width="8.42578125" customWidth="1"/>
    <col min="7172" max="7172" width="11" bestFit="1" customWidth="1"/>
    <col min="7173" max="7173" width="15.28515625" customWidth="1"/>
    <col min="7425" max="7425" width="77.5703125" customWidth="1"/>
    <col min="7426" max="7426" width="8.42578125" customWidth="1"/>
    <col min="7428" max="7428" width="11" bestFit="1" customWidth="1"/>
    <col min="7429" max="7429" width="15.28515625" customWidth="1"/>
    <col min="7681" max="7681" width="77.5703125" customWidth="1"/>
    <col min="7682" max="7682" width="8.42578125" customWidth="1"/>
    <col min="7684" max="7684" width="11" bestFit="1" customWidth="1"/>
    <col min="7685" max="7685" width="15.28515625" customWidth="1"/>
    <col min="7937" max="7937" width="77.5703125" customWidth="1"/>
    <col min="7938" max="7938" width="8.42578125" customWidth="1"/>
    <col min="7940" max="7940" width="11" bestFit="1" customWidth="1"/>
    <col min="7941" max="7941" width="15.28515625" customWidth="1"/>
    <col min="8193" max="8193" width="77.5703125" customWidth="1"/>
    <col min="8194" max="8194" width="8.42578125" customWidth="1"/>
    <col min="8196" max="8196" width="11" bestFit="1" customWidth="1"/>
    <col min="8197" max="8197" width="15.28515625" customWidth="1"/>
    <col min="8449" max="8449" width="77.5703125" customWidth="1"/>
    <col min="8450" max="8450" width="8.42578125" customWidth="1"/>
    <col min="8452" max="8452" width="11" bestFit="1" customWidth="1"/>
    <col min="8453" max="8453" width="15.28515625" customWidth="1"/>
    <col min="8705" max="8705" width="77.5703125" customWidth="1"/>
    <col min="8706" max="8706" width="8.42578125" customWidth="1"/>
    <col min="8708" max="8708" width="11" bestFit="1" customWidth="1"/>
    <col min="8709" max="8709" width="15.28515625" customWidth="1"/>
    <col min="8961" max="8961" width="77.5703125" customWidth="1"/>
    <col min="8962" max="8962" width="8.42578125" customWidth="1"/>
    <col min="8964" max="8964" width="11" bestFit="1" customWidth="1"/>
    <col min="8965" max="8965" width="15.28515625" customWidth="1"/>
    <col min="9217" max="9217" width="77.5703125" customWidth="1"/>
    <col min="9218" max="9218" width="8.42578125" customWidth="1"/>
    <col min="9220" max="9220" width="11" bestFit="1" customWidth="1"/>
    <col min="9221" max="9221" width="15.28515625" customWidth="1"/>
    <col min="9473" max="9473" width="77.5703125" customWidth="1"/>
    <col min="9474" max="9474" width="8.42578125" customWidth="1"/>
    <col min="9476" max="9476" width="11" bestFit="1" customWidth="1"/>
    <col min="9477" max="9477" width="15.28515625" customWidth="1"/>
    <col min="9729" max="9729" width="77.5703125" customWidth="1"/>
    <col min="9730" max="9730" width="8.42578125" customWidth="1"/>
    <col min="9732" max="9732" width="11" bestFit="1" customWidth="1"/>
    <col min="9733" max="9733" width="15.28515625" customWidth="1"/>
    <col min="9985" max="9985" width="77.5703125" customWidth="1"/>
    <col min="9986" max="9986" width="8.42578125" customWidth="1"/>
    <col min="9988" max="9988" width="11" bestFit="1" customWidth="1"/>
    <col min="9989" max="9989" width="15.28515625" customWidth="1"/>
    <col min="10241" max="10241" width="77.5703125" customWidth="1"/>
    <col min="10242" max="10242" width="8.42578125" customWidth="1"/>
    <col min="10244" max="10244" width="11" bestFit="1" customWidth="1"/>
    <col min="10245" max="10245" width="15.28515625" customWidth="1"/>
    <col min="10497" max="10497" width="77.5703125" customWidth="1"/>
    <col min="10498" max="10498" width="8.42578125" customWidth="1"/>
    <col min="10500" max="10500" width="11" bestFit="1" customWidth="1"/>
    <col min="10501" max="10501" width="15.28515625" customWidth="1"/>
    <col min="10753" max="10753" width="77.5703125" customWidth="1"/>
    <col min="10754" max="10754" width="8.42578125" customWidth="1"/>
    <col min="10756" max="10756" width="11" bestFit="1" customWidth="1"/>
    <col min="10757" max="10757" width="15.28515625" customWidth="1"/>
    <col min="11009" max="11009" width="77.5703125" customWidth="1"/>
    <col min="11010" max="11010" width="8.42578125" customWidth="1"/>
    <col min="11012" max="11012" width="11" bestFit="1" customWidth="1"/>
    <col min="11013" max="11013" width="15.28515625" customWidth="1"/>
    <col min="11265" max="11265" width="77.5703125" customWidth="1"/>
    <col min="11266" max="11266" width="8.42578125" customWidth="1"/>
    <col min="11268" max="11268" width="11" bestFit="1" customWidth="1"/>
    <col min="11269" max="11269" width="15.28515625" customWidth="1"/>
    <col min="11521" max="11521" width="77.5703125" customWidth="1"/>
    <col min="11522" max="11522" width="8.42578125" customWidth="1"/>
    <col min="11524" max="11524" width="11" bestFit="1" customWidth="1"/>
    <col min="11525" max="11525" width="15.28515625" customWidth="1"/>
    <col min="11777" max="11777" width="77.5703125" customWidth="1"/>
    <col min="11778" max="11778" width="8.42578125" customWidth="1"/>
    <col min="11780" max="11780" width="11" bestFit="1" customWidth="1"/>
    <col min="11781" max="11781" width="15.28515625" customWidth="1"/>
    <col min="12033" max="12033" width="77.5703125" customWidth="1"/>
    <col min="12034" max="12034" width="8.42578125" customWidth="1"/>
    <col min="12036" max="12036" width="11" bestFit="1" customWidth="1"/>
    <col min="12037" max="12037" width="15.28515625" customWidth="1"/>
    <col min="12289" max="12289" width="77.5703125" customWidth="1"/>
    <col min="12290" max="12290" width="8.42578125" customWidth="1"/>
    <col min="12292" max="12292" width="11" bestFit="1" customWidth="1"/>
    <col min="12293" max="12293" width="15.28515625" customWidth="1"/>
    <col min="12545" max="12545" width="77.5703125" customWidth="1"/>
    <col min="12546" max="12546" width="8.42578125" customWidth="1"/>
    <col min="12548" max="12548" width="11" bestFit="1" customWidth="1"/>
    <col min="12549" max="12549" width="15.28515625" customWidth="1"/>
    <col min="12801" max="12801" width="77.5703125" customWidth="1"/>
    <col min="12802" max="12802" width="8.42578125" customWidth="1"/>
    <col min="12804" max="12804" width="11" bestFit="1" customWidth="1"/>
    <col min="12805" max="12805" width="15.28515625" customWidth="1"/>
    <col min="13057" max="13057" width="77.5703125" customWidth="1"/>
    <col min="13058" max="13058" width="8.42578125" customWidth="1"/>
    <col min="13060" max="13060" width="11" bestFit="1" customWidth="1"/>
    <col min="13061" max="13061" width="15.28515625" customWidth="1"/>
    <col min="13313" max="13313" width="77.5703125" customWidth="1"/>
    <col min="13314" max="13314" width="8.42578125" customWidth="1"/>
    <col min="13316" max="13316" width="11" bestFit="1" customWidth="1"/>
    <col min="13317" max="13317" width="15.28515625" customWidth="1"/>
    <col min="13569" max="13569" width="77.5703125" customWidth="1"/>
    <col min="13570" max="13570" width="8.42578125" customWidth="1"/>
    <col min="13572" max="13572" width="11" bestFit="1" customWidth="1"/>
    <col min="13573" max="13573" width="15.28515625" customWidth="1"/>
    <col min="13825" max="13825" width="77.5703125" customWidth="1"/>
    <col min="13826" max="13826" width="8.42578125" customWidth="1"/>
    <col min="13828" max="13828" width="11" bestFit="1" customWidth="1"/>
    <col min="13829" max="13829" width="15.28515625" customWidth="1"/>
    <col min="14081" max="14081" width="77.5703125" customWidth="1"/>
    <col min="14082" max="14082" width="8.42578125" customWidth="1"/>
    <col min="14084" max="14084" width="11" bestFit="1" customWidth="1"/>
    <col min="14085" max="14085" width="15.28515625" customWidth="1"/>
    <col min="14337" max="14337" width="77.5703125" customWidth="1"/>
    <col min="14338" max="14338" width="8.42578125" customWidth="1"/>
    <col min="14340" max="14340" width="11" bestFit="1" customWidth="1"/>
    <col min="14341" max="14341" width="15.28515625" customWidth="1"/>
    <col min="14593" max="14593" width="77.5703125" customWidth="1"/>
    <col min="14594" max="14594" width="8.42578125" customWidth="1"/>
    <col min="14596" max="14596" width="11" bestFit="1" customWidth="1"/>
    <col min="14597" max="14597" width="15.28515625" customWidth="1"/>
    <col min="14849" max="14849" width="77.5703125" customWidth="1"/>
    <col min="14850" max="14850" width="8.42578125" customWidth="1"/>
    <col min="14852" max="14852" width="11" bestFit="1" customWidth="1"/>
    <col min="14853" max="14853" width="15.28515625" customWidth="1"/>
    <col min="15105" max="15105" width="77.5703125" customWidth="1"/>
    <col min="15106" max="15106" width="8.42578125" customWidth="1"/>
    <col min="15108" max="15108" width="11" bestFit="1" customWidth="1"/>
    <col min="15109" max="15109" width="15.28515625" customWidth="1"/>
    <col min="15361" max="15361" width="77.5703125" customWidth="1"/>
    <col min="15362" max="15362" width="8.42578125" customWidth="1"/>
    <col min="15364" max="15364" width="11" bestFit="1" customWidth="1"/>
    <col min="15365" max="15365" width="15.28515625" customWidth="1"/>
    <col min="15617" max="15617" width="77.5703125" customWidth="1"/>
    <col min="15618" max="15618" width="8.42578125" customWidth="1"/>
    <col min="15620" max="15620" width="11" bestFit="1" customWidth="1"/>
    <col min="15621" max="15621" width="15.28515625" customWidth="1"/>
    <col min="15873" max="15873" width="77.5703125" customWidth="1"/>
    <col min="15874" max="15874" width="8.42578125" customWidth="1"/>
    <col min="15876" max="15876" width="11" bestFit="1" customWidth="1"/>
    <col min="15877" max="15877" width="15.28515625" customWidth="1"/>
    <col min="16129" max="16129" width="77.5703125" customWidth="1"/>
    <col min="16130" max="16130" width="8.42578125" customWidth="1"/>
    <col min="16132" max="16132" width="11" bestFit="1" customWidth="1"/>
    <col min="16133" max="16133" width="15.28515625" customWidth="1"/>
  </cols>
  <sheetData>
    <row r="2" spans="1:5" ht="15" thickBot="1" x14ac:dyDescent="0.25"/>
    <row r="3" spans="1:5" ht="12.75" x14ac:dyDescent="0.2">
      <c r="A3" s="488" t="s">
        <v>241</v>
      </c>
      <c r="B3" s="490" t="s">
        <v>82</v>
      </c>
      <c r="C3" s="492" t="s">
        <v>83</v>
      </c>
      <c r="D3" s="494" t="s">
        <v>84</v>
      </c>
      <c r="E3" s="496" t="s">
        <v>161</v>
      </c>
    </row>
    <row r="4" spans="1:5" ht="12.75" x14ac:dyDescent="0.2">
      <c r="A4" s="489"/>
      <c r="B4" s="491"/>
      <c r="C4" s="493"/>
      <c r="D4" s="495"/>
      <c r="E4" s="497"/>
    </row>
    <row r="5" spans="1:5" ht="15" x14ac:dyDescent="0.25">
      <c r="A5" s="270" t="s">
        <v>249</v>
      </c>
      <c r="B5" s="268"/>
      <c r="C5" s="271"/>
      <c r="D5" s="272"/>
      <c r="E5" s="273">
        <f>E6+E28</f>
        <v>16018253</v>
      </c>
    </row>
    <row r="6" spans="1:5" ht="15" x14ac:dyDescent="0.25">
      <c r="A6" s="270" t="s">
        <v>2</v>
      </c>
      <c r="B6" s="268"/>
      <c r="C6" s="271"/>
      <c r="D6" s="272"/>
      <c r="E6" s="273">
        <f>E7+E10+E20+E21+E23+E24+E26+E27</f>
        <v>15997933</v>
      </c>
    </row>
    <row r="7" spans="1:5" ht="15" x14ac:dyDescent="0.25">
      <c r="A7" s="270" t="s">
        <v>85</v>
      </c>
      <c r="B7" s="268"/>
      <c r="C7" s="274"/>
      <c r="D7" s="272"/>
      <c r="E7" s="275">
        <f>E8</f>
        <v>0</v>
      </c>
    </row>
    <row r="8" spans="1:5" ht="15" x14ac:dyDescent="0.25">
      <c r="A8" s="265" t="s">
        <v>86</v>
      </c>
      <c r="B8" s="268"/>
      <c r="C8" s="276"/>
      <c r="D8" s="264">
        <v>4580000</v>
      </c>
      <c r="E8" s="277">
        <f>C8*D8</f>
        <v>0</v>
      </c>
    </row>
    <row r="9" spans="1:5" ht="15" x14ac:dyDescent="0.25">
      <c r="A9" s="265" t="s">
        <v>88</v>
      </c>
      <c r="B9" s="268"/>
      <c r="C9" s="274"/>
      <c r="D9" s="272"/>
      <c r="E9" s="278">
        <v>0</v>
      </c>
    </row>
    <row r="10" spans="1:5" ht="15" x14ac:dyDescent="0.25">
      <c r="A10" s="279" t="s">
        <v>268</v>
      </c>
      <c r="B10" s="268"/>
      <c r="C10" s="274"/>
      <c r="D10" s="272"/>
      <c r="E10" s="275">
        <f>E11+E12+E13+E14+E15+E16+E17+E18</f>
        <v>12030100</v>
      </c>
    </row>
    <row r="11" spans="1:5" ht="15" x14ac:dyDescent="0.25">
      <c r="A11" s="280" t="s">
        <v>87</v>
      </c>
      <c r="B11" s="268"/>
      <c r="C11" s="274"/>
      <c r="D11" s="272"/>
      <c r="E11" s="277">
        <v>1601140</v>
      </c>
    </row>
    <row r="12" spans="1:5" ht="15" x14ac:dyDescent="0.25">
      <c r="A12" s="280" t="s">
        <v>88</v>
      </c>
      <c r="B12" s="268"/>
      <c r="C12" s="274"/>
      <c r="D12" s="272"/>
      <c r="E12" s="278">
        <v>0</v>
      </c>
    </row>
    <row r="13" spans="1:5" ht="15" x14ac:dyDescent="0.25">
      <c r="A13" s="280" t="s">
        <v>89</v>
      </c>
      <c r="B13" s="268"/>
      <c r="C13" s="271"/>
      <c r="D13" s="272"/>
      <c r="E13" s="277">
        <v>9312000</v>
      </c>
    </row>
    <row r="14" spans="1:5" ht="15" x14ac:dyDescent="0.25">
      <c r="A14" s="280" t="s">
        <v>88</v>
      </c>
      <c r="B14" s="268"/>
      <c r="C14" s="271"/>
      <c r="D14" s="272"/>
      <c r="E14" s="278">
        <v>0</v>
      </c>
    </row>
    <row r="15" spans="1:5" ht="15" x14ac:dyDescent="0.25">
      <c r="A15" s="280" t="s">
        <v>90</v>
      </c>
      <c r="B15" s="268"/>
      <c r="C15" s="271"/>
      <c r="D15" s="272"/>
      <c r="E15" s="277">
        <v>100000</v>
      </c>
    </row>
    <row r="16" spans="1:5" ht="15" x14ac:dyDescent="0.25">
      <c r="A16" s="280" t="s">
        <v>88</v>
      </c>
      <c r="B16" s="268"/>
      <c r="C16" s="271"/>
      <c r="D16" s="272"/>
      <c r="E16" s="278">
        <v>0</v>
      </c>
    </row>
    <row r="17" spans="1:5" ht="15" x14ac:dyDescent="0.25">
      <c r="A17" s="280" t="s">
        <v>91</v>
      </c>
      <c r="B17" s="268"/>
      <c r="C17" s="271"/>
      <c r="D17" s="272"/>
      <c r="E17" s="277">
        <v>1016960</v>
      </c>
    </row>
    <row r="18" spans="1:5" ht="15" x14ac:dyDescent="0.25">
      <c r="A18" s="280" t="s">
        <v>88</v>
      </c>
      <c r="B18" s="268"/>
      <c r="C18" s="271"/>
      <c r="D18" s="272"/>
      <c r="E18" s="278">
        <v>0</v>
      </c>
    </row>
    <row r="19" spans="1:5" ht="15" x14ac:dyDescent="0.25">
      <c r="A19" s="270" t="s">
        <v>269</v>
      </c>
      <c r="B19" s="268"/>
      <c r="C19" s="271"/>
      <c r="D19" s="272"/>
      <c r="E19" s="273">
        <f>E20+E21</f>
        <v>3629033</v>
      </c>
    </row>
    <row r="20" spans="1:5" x14ac:dyDescent="0.2">
      <c r="A20" s="265" t="s">
        <v>244</v>
      </c>
      <c r="B20" s="267"/>
      <c r="C20" s="267"/>
      <c r="D20" s="264">
        <v>2700</v>
      </c>
      <c r="E20" s="277">
        <v>5000000</v>
      </c>
    </row>
    <row r="21" spans="1:5" ht="15" x14ac:dyDescent="0.25">
      <c r="A21" s="280" t="s">
        <v>88</v>
      </c>
      <c r="B21" s="268"/>
      <c r="C21" s="281"/>
      <c r="D21" s="264"/>
      <c r="E21" s="277">
        <v>-1370967</v>
      </c>
    </row>
    <row r="22" spans="1:5" ht="15" x14ac:dyDescent="0.25">
      <c r="A22" s="270" t="s">
        <v>270</v>
      </c>
      <c r="B22" s="268"/>
      <c r="C22" s="281"/>
      <c r="D22" s="264"/>
      <c r="E22" s="275">
        <f>E23+E24</f>
        <v>89250</v>
      </c>
    </row>
    <row r="23" spans="1:5" ht="15" x14ac:dyDescent="0.25">
      <c r="A23" s="265" t="s">
        <v>105</v>
      </c>
      <c r="B23" s="268"/>
      <c r="C23" s="281"/>
      <c r="D23" s="282">
        <v>2550</v>
      </c>
      <c r="E23" s="283">
        <v>89250</v>
      </c>
    </row>
    <row r="24" spans="1:5" ht="15" x14ac:dyDescent="0.25">
      <c r="A24" s="280" t="s">
        <v>88</v>
      </c>
      <c r="B24" s="268"/>
      <c r="C24" s="271"/>
      <c r="D24" s="284"/>
      <c r="E24" s="285">
        <v>0</v>
      </c>
    </row>
    <row r="25" spans="1:5" ht="15" x14ac:dyDescent="0.25">
      <c r="A25" s="286" t="s">
        <v>271</v>
      </c>
      <c r="B25" s="268"/>
      <c r="C25" s="281"/>
      <c r="D25" s="264"/>
      <c r="E25" s="287">
        <f>E26</f>
        <v>249550</v>
      </c>
    </row>
    <row r="26" spans="1:5" ht="15" x14ac:dyDescent="0.25">
      <c r="A26" s="288" t="s">
        <v>272</v>
      </c>
      <c r="B26" s="268"/>
      <c r="C26" s="281"/>
      <c r="D26" s="264"/>
      <c r="E26" s="289">
        <v>249550</v>
      </c>
    </row>
    <row r="27" spans="1:5" ht="15" x14ac:dyDescent="0.25">
      <c r="A27" s="280" t="s">
        <v>88</v>
      </c>
      <c r="B27" s="268"/>
      <c r="C27" s="281"/>
      <c r="D27" s="264"/>
      <c r="E27" s="277">
        <v>0</v>
      </c>
    </row>
    <row r="28" spans="1:5" ht="15" x14ac:dyDescent="0.25">
      <c r="A28" s="279" t="s">
        <v>285</v>
      </c>
      <c r="B28" s="268"/>
      <c r="C28" s="271"/>
      <c r="D28" s="272"/>
      <c r="E28" s="275">
        <v>20320</v>
      </c>
    </row>
    <row r="29" spans="1:5" ht="15" x14ac:dyDescent="0.25">
      <c r="A29" s="280"/>
      <c r="B29" s="268"/>
      <c r="C29" s="281"/>
      <c r="D29" s="264"/>
      <c r="E29" s="277"/>
    </row>
    <row r="30" spans="1:5" ht="15" x14ac:dyDescent="0.25">
      <c r="A30" s="270" t="s">
        <v>273</v>
      </c>
      <c r="B30" s="268"/>
      <c r="C30" s="281"/>
      <c r="D30" s="264"/>
      <c r="E30" s="290">
        <v>0</v>
      </c>
    </row>
    <row r="31" spans="1:5" x14ac:dyDescent="0.2">
      <c r="A31" s="288"/>
      <c r="B31" s="267"/>
      <c r="C31" s="267"/>
      <c r="D31" s="264"/>
      <c r="E31" s="283"/>
    </row>
    <row r="32" spans="1:5" ht="15" x14ac:dyDescent="0.25">
      <c r="A32" s="270" t="s">
        <v>250</v>
      </c>
      <c r="B32" s="268"/>
      <c r="C32" s="281"/>
      <c r="D32" s="264"/>
      <c r="E32" s="290">
        <f>E33+E36+E53</f>
        <v>7725584</v>
      </c>
    </row>
    <row r="33" spans="1:5" ht="15" x14ac:dyDescent="0.25">
      <c r="A33" s="270" t="s">
        <v>92</v>
      </c>
      <c r="B33" s="268"/>
      <c r="C33" s="281"/>
      <c r="D33" s="264"/>
      <c r="E33" s="290">
        <f>SUM(E34:E35)</f>
        <v>3854822</v>
      </c>
    </row>
    <row r="34" spans="1:5" ht="15" x14ac:dyDescent="0.25">
      <c r="A34" s="265" t="s">
        <v>246</v>
      </c>
      <c r="B34" s="268"/>
      <c r="C34" s="281"/>
      <c r="D34" s="264"/>
      <c r="E34" s="291"/>
    </row>
    <row r="35" spans="1:5" ht="15" x14ac:dyDescent="0.25">
      <c r="A35" s="265" t="s">
        <v>245</v>
      </c>
      <c r="B35" s="268"/>
      <c r="C35" s="281"/>
      <c r="D35" s="264"/>
      <c r="E35" s="291">
        <v>3854822</v>
      </c>
    </row>
    <row r="36" spans="1:5" ht="15" x14ac:dyDescent="0.25">
      <c r="A36" s="270" t="s">
        <v>93</v>
      </c>
      <c r="B36" s="267"/>
      <c r="C36" s="281"/>
      <c r="D36" s="264"/>
      <c r="E36" s="290">
        <f>E38+E39+E40+E41+E42+E43+E44+E45+E49+E37</f>
        <v>2500000</v>
      </c>
    </row>
    <row r="37" spans="1:5" x14ac:dyDescent="0.2">
      <c r="A37" s="265" t="s">
        <v>343</v>
      </c>
      <c r="B37" s="267"/>
      <c r="C37" s="281"/>
      <c r="D37" s="264">
        <v>2500000</v>
      </c>
      <c r="E37" s="291">
        <v>2500000</v>
      </c>
    </row>
    <row r="38" spans="1:5" x14ac:dyDescent="0.2">
      <c r="A38" s="292" t="s">
        <v>274</v>
      </c>
      <c r="B38" s="267"/>
      <c r="C38" s="276"/>
      <c r="D38" s="264">
        <v>3000000</v>
      </c>
      <c r="E38" s="291">
        <v>0</v>
      </c>
    </row>
    <row r="39" spans="1:5" x14ac:dyDescent="0.2">
      <c r="A39" s="292" t="s">
        <v>275</v>
      </c>
      <c r="B39" s="267"/>
      <c r="C39" s="276"/>
      <c r="D39" s="264">
        <v>3000000</v>
      </c>
      <c r="E39" s="291">
        <v>0</v>
      </c>
    </row>
    <row r="40" spans="1:5" x14ac:dyDescent="0.2">
      <c r="A40" s="265"/>
      <c r="B40" s="267"/>
      <c r="C40" s="293"/>
      <c r="D40" s="264"/>
      <c r="E40" s="291"/>
    </row>
    <row r="41" spans="1:5" x14ac:dyDescent="0.2">
      <c r="A41" s="265"/>
      <c r="B41" s="267"/>
      <c r="C41" s="276"/>
      <c r="D41" s="264"/>
      <c r="E41" s="291"/>
    </row>
    <row r="42" spans="1:5" x14ac:dyDescent="0.2">
      <c r="A42" s="265" t="s">
        <v>94</v>
      </c>
      <c r="B42" s="267"/>
      <c r="C42" s="281"/>
      <c r="D42" s="264">
        <v>55360</v>
      </c>
      <c r="E42" s="291">
        <f>C42*D42</f>
        <v>0</v>
      </c>
    </row>
    <row r="43" spans="1:5" x14ac:dyDescent="0.2">
      <c r="A43" s="265" t="s">
        <v>276</v>
      </c>
      <c r="B43" s="267"/>
      <c r="C43" s="281"/>
      <c r="D43" s="264">
        <v>188500</v>
      </c>
      <c r="E43" s="291">
        <f>C43*D43</f>
        <v>0</v>
      </c>
    </row>
    <row r="44" spans="1:5" x14ac:dyDescent="0.2">
      <c r="A44" s="294" t="s">
        <v>277</v>
      </c>
      <c r="B44" s="267"/>
      <c r="C44" s="281"/>
      <c r="D44" s="282">
        <v>163500</v>
      </c>
      <c r="E44" s="291">
        <f>C44*D44</f>
        <v>0</v>
      </c>
    </row>
    <row r="45" spans="1:5" x14ac:dyDescent="0.2">
      <c r="A45" s="292" t="s">
        <v>95</v>
      </c>
      <c r="B45" s="295"/>
      <c r="C45" s="296"/>
      <c r="D45" s="297"/>
      <c r="E45" s="291">
        <f>E46+E47+E48</f>
        <v>0</v>
      </c>
    </row>
    <row r="46" spans="1:5" x14ac:dyDescent="0.2">
      <c r="A46" s="265" t="s">
        <v>251</v>
      </c>
      <c r="B46" s="267"/>
      <c r="C46" s="281"/>
      <c r="D46" s="264">
        <v>550000</v>
      </c>
      <c r="E46" s="291">
        <f>C46*D46</f>
        <v>0</v>
      </c>
    </row>
    <row r="47" spans="1:5" ht="28.5" x14ac:dyDescent="0.2">
      <c r="A47" s="294" t="s">
        <v>96</v>
      </c>
      <c r="B47" s="267"/>
      <c r="C47" s="281"/>
      <c r="D47" s="264">
        <v>220000</v>
      </c>
      <c r="E47" s="291">
        <f>C47*D47</f>
        <v>0</v>
      </c>
    </row>
    <row r="48" spans="1:5" x14ac:dyDescent="0.2">
      <c r="A48" s="288" t="s">
        <v>252</v>
      </c>
      <c r="B48" s="267"/>
      <c r="C48" s="281"/>
      <c r="D48" s="264">
        <v>550000</v>
      </c>
      <c r="E48" s="291">
        <f>C48*D48</f>
        <v>0</v>
      </c>
    </row>
    <row r="49" spans="1:5" ht="15" x14ac:dyDescent="0.25">
      <c r="A49" s="292" t="s">
        <v>97</v>
      </c>
      <c r="B49" s="268"/>
      <c r="C49" s="281"/>
      <c r="D49" s="264"/>
      <c r="E49" s="291">
        <v>0</v>
      </c>
    </row>
    <row r="50" spans="1:5" x14ac:dyDescent="0.2">
      <c r="A50" s="265" t="s">
        <v>98</v>
      </c>
      <c r="B50" s="267"/>
      <c r="C50" s="281"/>
      <c r="D50" s="264">
        <v>494100</v>
      </c>
      <c r="E50" s="291">
        <f>C50*D50</f>
        <v>0</v>
      </c>
    </row>
    <row r="51" spans="1:5" x14ac:dyDescent="0.2">
      <c r="A51" s="265" t="s">
        <v>99</v>
      </c>
      <c r="B51" s="267"/>
      <c r="C51" s="281"/>
      <c r="D51" s="264">
        <v>518805</v>
      </c>
      <c r="E51" s="291">
        <v>0</v>
      </c>
    </row>
    <row r="52" spans="1:5" ht="28.5" x14ac:dyDescent="0.2">
      <c r="A52" s="294" t="s">
        <v>286</v>
      </c>
      <c r="B52" s="267"/>
      <c r="C52" s="281"/>
      <c r="D52" s="264">
        <v>1508760</v>
      </c>
      <c r="E52" s="291">
        <v>0</v>
      </c>
    </row>
    <row r="53" spans="1:5" ht="15" x14ac:dyDescent="0.25">
      <c r="A53" s="270" t="s">
        <v>100</v>
      </c>
      <c r="B53" s="268"/>
      <c r="C53" s="298"/>
      <c r="D53" s="272">
        <v>1632000</v>
      </c>
      <c r="E53" s="290">
        <f>E54+E55+E56</f>
        <v>1370762</v>
      </c>
    </row>
    <row r="54" spans="1:5" x14ac:dyDescent="0.2">
      <c r="A54" s="265" t="s">
        <v>101</v>
      </c>
      <c r="B54" s="267"/>
      <c r="C54" s="267"/>
      <c r="D54" s="264">
        <v>1632000</v>
      </c>
      <c r="E54" s="291">
        <v>1044480</v>
      </c>
    </row>
    <row r="55" spans="1:5" x14ac:dyDescent="0.2">
      <c r="A55" s="265" t="s">
        <v>102</v>
      </c>
      <c r="B55" s="267"/>
      <c r="C55" s="299"/>
      <c r="D55" s="264"/>
      <c r="E55" s="291">
        <v>326282</v>
      </c>
    </row>
    <row r="56" spans="1:5" ht="15" x14ac:dyDescent="0.25">
      <c r="A56" s="265" t="s">
        <v>278</v>
      </c>
      <c r="B56" s="268"/>
      <c r="C56" s="299"/>
      <c r="D56" s="264"/>
      <c r="E56" s="291">
        <v>0</v>
      </c>
    </row>
    <row r="57" spans="1:5" x14ac:dyDescent="0.2">
      <c r="A57" s="265"/>
      <c r="B57" s="267"/>
      <c r="C57" s="267"/>
      <c r="D57" s="264"/>
      <c r="E57" s="291"/>
    </row>
    <row r="58" spans="1:5" x14ac:dyDescent="0.2">
      <c r="A58" s="265"/>
      <c r="B58" s="267"/>
      <c r="C58" s="267"/>
      <c r="D58" s="264"/>
      <c r="E58" s="300"/>
    </row>
    <row r="59" spans="1:5" ht="15" x14ac:dyDescent="0.25">
      <c r="A59" s="301" t="s">
        <v>103</v>
      </c>
      <c r="B59" s="266"/>
      <c r="C59" s="266"/>
      <c r="D59" s="266"/>
      <c r="E59" s="287">
        <f>E60</f>
        <v>1200000</v>
      </c>
    </row>
    <row r="60" spans="1:5" x14ac:dyDescent="0.2">
      <c r="A60" s="302" t="s">
        <v>104</v>
      </c>
      <c r="B60" s="281"/>
      <c r="C60" s="281"/>
      <c r="D60" s="264">
        <v>1140</v>
      </c>
      <c r="E60" s="283">
        <v>1200000</v>
      </c>
    </row>
    <row r="61" spans="1:5" x14ac:dyDescent="0.2">
      <c r="A61" s="288" t="s">
        <v>3</v>
      </c>
      <c r="B61" s="281"/>
      <c r="C61" s="281"/>
      <c r="D61" s="264"/>
      <c r="E61" s="283"/>
    </row>
    <row r="62" spans="1:5" x14ac:dyDescent="0.2">
      <c r="A62" s="302"/>
      <c r="B62" s="281"/>
      <c r="C62" s="281"/>
      <c r="D62" s="264"/>
      <c r="E62" s="283"/>
    </row>
    <row r="63" spans="1:5" ht="15.75" thickBot="1" x14ac:dyDescent="0.3">
      <c r="A63" s="303" t="s">
        <v>106</v>
      </c>
      <c r="B63" s="304"/>
      <c r="C63" s="304"/>
      <c r="D63" s="304"/>
      <c r="E63" s="305">
        <f>E59+E32+E30+E5</f>
        <v>24943837</v>
      </c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7" orientation="portrait" r:id="rId1"/>
  <headerFooter>
    <oddHeader>&amp;LPécsely Község Önkormányzata&amp;C&amp;"Arial,Félkövér"ÁLLAMI TÁMOGATÁSOK 2016. ÉV
2/a. melléklet a .../2017. (.....)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4:H50"/>
  <sheetViews>
    <sheetView tabSelected="1" view="pageLayout" topLeftCell="A7" zoomScaleNormal="75" zoomScaleSheetLayoutView="80" workbookViewId="0">
      <selection activeCell="G33" sqref="G33"/>
    </sheetView>
  </sheetViews>
  <sheetFormatPr defaultColWidth="9.140625" defaultRowHeight="12.75" x14ac:dyDescent="0.2"/>
  <cols>
    <col min="1" max="1" width="44.42578125" style="57" customWidth="1"/>
    <col min="2" max="2" width="10.7109375" style="57" bestFit="1" customWidth="1"/>
    <col min="3" max="5" width="10.42578125" style="57" bestFit="1" customWidth="1"/>
    <col min="6" max="7" width="10.7109375" style="57" bestFit="1" customWidth="1"/>
    <col min="8" max="8" width="11.28515625" style="57" customWidth="1"/>
    <col min="9" max="9" width="11.7109375" style="57" customWidth="1"/>
    <col min="10" max="10" width="10.7109375" style="57" customWidth="1"/>
    <col min="11" max="16384" width="9.140625" style="57"/>
  </cols>
  <sheetData>
    <row r="4" spans="1:8" ht="13.5" thickBot="1" x14ac:dyDescent="0.25"/>
    <row r="5" spans="1:8" ht="51.75" customHeight="1" thickBot="1" x14ac:dyDescent="0.25">
      <c r="A5" s="196" t="s">
        <v>241</v>
      </c>
      <c r="B5" s="193" t="s">
        <v>391</v>
      </c>
      <c r="C5" s="194" t="s">
        <v>392</v>
      </c>
      <c r="D5" s="430" t="s">
        <v>409</v>
      </c>
      <c r="E5" s="430" t="s">
        <v>416</v>
      </c>
      <c r="F5" s="430" t="s">
        <v>420</v>
      </c>
      <c r="G5" s="430" t="s">
        <v>424</v>
      </c>
      <c r="H5" s="193" t="s">
        <v>393</v>
      </c>
    </row>
    <row r="6" spans="1:8" ht="15.75" x14ac:dyDescent="0.2">
      <c r="A6" s="325" t="s">
        <v>290</v>
      </c>
      <c r="B6" s="336"/>
      <c r="C6" s="336"/>
      <c r="D6" s="336"/>
      <c r="E6" s="336"/>
      <c r="F6" s="336"/>
      <c r="G6" s="336"/>
      <c r="H6" s="336"/>
    </row>
    <row r="7" spans="1:8" ht="15.75" x14ac:dyDescent="0.2">
      <c r="A7" s="326" t="s">
        <v>291</v>
      </c>
      <c r="B7" s="336">
        <v>13077</v>
      </c>
      <c r="C7" s="336">
        <f>13077+1148+103</f>
        <v>14328</v>
      </c>
      <c r="D7" s="336">
        <f>14328+114+176+35+100</f>
        <v>14753</v>
      </c>
      <c r="E7" s="336">
        <f>14753+299</f>
        <v>15052</v>
      </c>
      <c r="F7" s="336">
        <f>15052-430</f>
        <v>14622</v>
      </c>
      <c r="G7" s="336">
        <v>14622</v>
      </c>
      <c r="H7" s="336">
        <f>G7-F7</f>
        <v>0</v>
      </c>
    </row>
    <row r="8" spans="1:8" ht="15.75" x14ac:dyDescent="0.2">
      <c r="A8" s="326" t="s">
        <v>292</v>
      </c>
      <c r="B8" s="422">
        <v>2907</v>
      </c>
      <c r="C8" s="336">
        <f>2907+155</f>
        <v>3062</v>
      </c>
      <c r="D8" s="336">
        <f>3062+31+47+15</f>
        <v>3155</v>
      </c>
      <c r="E8" s="336">
        <f>3155+81</f>
        <v>3236</v>
      </c>
      <c r="F8" s="336">
        <f>3236+430</f>
        <v>3666</v>
      </c>
      <c r="G8" s="336">
        <v>3666</v>
      </c>
      <c r="H8" s="336">
        <f t="shared" ref="H8:H50" si="0">G8-F8</f>
        <v>0</v>
      </c>
    </row>
    <row r="9" spans="1:8" ht="15.75" x14ac:dyDescent="0.2">
      <c r="A9" s="326" t="s">
        <v>293</v>
      </c>
      <c r="B9" s="336">
        <f>SUM(B11:B28)</f>
        <v>28980</v>
      </c>
      <c r="C9" s="336">
        <f t="shared" ref="C9:G9" si="1">SUM(C11:C28)</f>
        <v>28844</v>
      </c>
      <c r="D9" s="336">
        <f t="shared" si="1"/>
        <v>29408</v>
      </c>
      <c r="E9" s="336">
        <f t="shared" si="1"/>
        <v>29408</v>
      </c>
      <c r="F9" s="336">
        <f t="shared" si="1"/>
        <v>29408</v>
      </c>
      <c r="G9" s="336">
        <f t="shared" si="1"/>
        <v>29408</v>
      </c>
      <c r="H9" s="336">
        <f t="shared" si="0"/>
        <v>0</v>
      </c>
    </row>
    <row r="10" spans="1:8" ht="15.75" x14ac:dyDescent="0.2">
      <c r="A10" s="327" t="s">
        <v>294</v>
      </c>
      <c r="B10" s="336"/>
      <c r="C10" s="336"/>
      <c r="D10" s="336"/>
      <c r="E10" s="336"/>
      <c r="F10" s="336"/>
      <c r="G10" s="336"/>
      <c r="H10" s="336">
        <f t="shared" si="0"/>
        <v>0</v>
      </c>
    </row>
    <row r="11" spans="1:8" ht="15.75" x14ac:dyDescent="0.25">
      <c r="A11" s="335" t="s">
        <v>304</v>
      </c>
      <c r="B11" s="336">
        <v>120</v>
      </c>
      <c r="C11" s="336">
        <v>120</v>
      </c>
      <c r="D11" s="336">
        <f>120-30</f>
        <v>90</v>
      </c>
      <c r="E11" s="336">
        <v>90</v>
      </c>
      <c r="F11" s="336">
        <v>90</v>
      </c>
      <c r="G11" s="336">
        <v>90</v>
      </c>
      <c r="H11" s="336">
        <f t="shared" si="0"/>
        <v>0</v>
      </c>
    </row>
    <row r="12" spans="1:8" ht="15.75" x14ac:dyDescent="0.25">
      <c r="A12" s="335" t="s">
        <v>305</v>
      </c>
      <c r="B12" s="336">
        <v>2500</v>
      </c>
      <c r="C12" s="336">
        <v>2500</v>
      </c>
      <c r="D12" s="336">
        <v>2500</v>
      </c>
      <c r="E12" s="336">
        <v>2500</v>
      </c>
      <c r="F12" s="336">
        <v>2500</v>
      </c>
      <c r="G12" s="336">
        <v>2500</v>
      </c>
      <c r="H12" s="336">
        <f t="shared" si="0"/>
        <v>0</v>
      </c>
    </row>
    <row r="13" spans="1:8" ht="15.75" x14ac:dyDescent="0.25">
      <c r="A13" s="335" t="s">
        <v>306</v>
      </c>
      <c r="B13" s="336">
        <v>0</v>
      </c>
      <c r="C13" s="336">
        <v>0</v>
      </c>
      <c r="D13" s="336">
        <v>0</v>
      </c>
      <c r="E13" s="336">
        <v>0</v>
      </c>
      <c r="F13" s="336">
        <v>0</v>
      </c>
      <c r="G13" s="336">
        <v>0</v>
      </c>
      <c r="H13" s="336">
        <f t="shared" si="0"/>
        <v>0</v>
      </c>
    </row>
    <row r="14" spans="1:8" ht="15.75" customHeight="1" x14ac:dyDescent="0.25">
      <c r="A14" s="335" t="s">
        <v>307</v>
      </c>
      <c r="B14" s="336">
        <v>750</v>
      </c>
      <c r="C14" s="336">
        <v>750</v>
      </c>
      <c r="D14" s="336">
        <v>750</v>
      </c>
      <c r="E14" s="336">
        <v>750</v>
      </c>
      <c r="F14" s="336">
        <v>750</v>
      </c>
      <c r="G14" s="336">
        <f>750-325</f>
        <v>425</v>
      </c>
      <c r="H14" s="336">
        <f t="shared" si="0"/>
        <v>-325</v>
      </c>
    </row>
    <row r="15" spans="1:8" ht="15.75" x14ac:dyDescent="0.25">
      <c r="A15" s="335" t="s">
        <v>308</v>
      </c>
      <c r="B15" s="336">
        <v>750</v>
      </c>
      <c r="C15" s="336">
        <v>750</v>
      </c>
      <c r="D15" s="336">
        <v>750</v>
      </c>
      <c r="E15" s="336">
        <v>750</v>
      </c>
      <c r="F15" s="336">
        <v>750</v>
      </c>
      <c r="G15" s="336">
        <f>750-235</f>
        <v>515</v>
      </c>
      <c r="H15" s="336">
        <f t="shared" si="0"/>
        <v>-235</v>
      </c>
    </row>
    <row r="16" spans="1:8" ht="15.75" x14ac:dyDescent="0.25">
      <c r="A16" s="335" t="s">
        <v>309</v>
      </c>
      <c r="B16" s="336">
        <v>6000</v>
      </c>
      <c r="C16" s="336">
        <v>6000</v>
      </c>
      <c r="D16" s="336">
        <v>6000</v>
      </c>
      <c r="E16" s="336">
        <v>6000</v>
      </c>
      <c r="F16" s="336">
        <f>6000-1900</f>
        <v>4100</v>
      </c>
      <c r="G16" s="336">
        <f>4100+325+235+250</f>
        <v>4910</v>
      </c>
      <c r="H16" s="336">
        <f t="shared" si="0"/>
        <v>810</v>
      </c>
    </row>
    <row r="17" spans="1:8" ht="15.75" x14ac:dyDescent="0.25">
      <c r="A17" s="335" t="s">
        <v>310</v>
      </c>
      <c r="B17" s="336">
        <v>2500</v>
      </c>
      <c r="C17" s="336">
        <v>2500</v>
      </c>
      <c r="D17" s="336">
        <v>2500</v>
      </c>
      <c r="E17" s="336">
        <v>2500</v>
      </c>
      <c r="F17" s="336">
        <v>2500</v>
      </c>
      <c r="G17" s="336">
        <v>2500</v>
      </c>
      <c r="H17" s="336">
        <f t="shared" si="0"/>
        <v>0</v>
      </c>
    </row>
    <row r="18" spans="1:8" ht="15.75" x14ac:dyDescent="0.25">
      <c r="A18" s="335" t="s">
        <v>313</v>
      </c>
      <c r="B18" s="336">
        <v>0</v>
      </c>
      <c r="C18" s="336">
        <v>0</v>
      </c>
      <c r="D18" s="336">
        <v>0</v>
      </c>
      <c r="E18" s="336">
        <v>0</v>
      </c>
      <c r="F18" s="336">
        <v>0</v>
      </c>
      <c r="G18" s="336">
        <v>0</v>
      </c>
      <c r="H18" s="336">
        <f t="shared" si="0"/>
        <v>0</v>
      </c>
    </row>
    <row r="19" spans="1:8" ht="15.75" x14ac:dyDescent="0.25">
      <c r="A19" s="335" t="s">
        <v>311</v>
      </c>
      <c r="B19" s="336">
        <v>3000</v>
      </c>
      <c r="C19" s="336">
        <v>3000</v>
      </c>
      <c r="D19" s="336">
        <v>3000</v>
      </c>
      <c r="E19" s="336">
        <v>3000</v>
      </c>
      <c r="F19" s="336">
        <f>3000-983-750-17</f>
        <v>1250</v>
      </c>
      <c r="G19" s="336">
        <f>1250-250</f>
        <v>1000</v>
      </c>
      <c r="H19" s="336">
        <f t="shared" si="0"/>
        <v>-250</v>
      </c>
    </row>
    <row r="20" spans="1:8" ht="15.75" x14ac:dyDescent="0.25">
      <c r="A20" s="335" t="s">
        <v>312</v>
      </c>
      <c r="B20" s="336">
        <v>0</v>
      </c>
      <c r="C20" s="336">
        <v>0</v>
      </c>
      <c r="D20" s="336">
        <v>0</v>
      </c>
      <c r="E20" s="336">
        <v>0</v>
      </c>
      <c r="F20" s="336">
        <f>17+2883</f>
        <v>2900</v>
      </c>
      <c r="G20" s="336">
        <v>2900</v>
      </c>
      <c r="H20" s="336">
        <f t="shared" si="0"/>
        <v>0</v>
      </c>
    </row>
    <row r="21" spans="1:8" ht="31.5" x14ac:dyDescent="0.25">
      <c r="A21" s="335" t="s">
        <v>314</v>
      </c>
      <c r="B21" s="336">
        <v>2000</v>
      </c>
      <c r="C21" s="336">
        <f>2000-136</f>
        <v>1864</v>
      </c>
      <c r="D21" s="336">
        <f>2000-136</f>
        <v>1864</v>
      </c>
      <c r="E21" s="336">
        <v>1864</v>
      </c>
      <c r="F21" s="336">
        <v>1864</v>
      </c>
      <c r="G21" s="336">
        <v>1864</v>
      </c>
      <c r="H21" s="336">
        <f t="shared" si="0"/>
        <v>0</v>
      </c>
    </row>
    <row r="22" spans="1:8" ht="15.75" x14ac:dyDescent="0.25">
      <c r="A22" s="335" t="s">
        <v>315</v>
      </c>
      <c r="B22" s="336">
        <v>4000</v>
      </c>
      <c r="C22" s="336">
        <v>4000</v>
      </c>
      <c r="D22" s="336">
        <f>4000+200+250+60</f>
        <v>4510</v>
      </c>
      <c r="E22" s="336">
        <v>4510</v>
      </c>
      <c r="F22" s="336">
        <f>4510+750</f>
        <v>5260</v>
      </c>
      <c r="G22" s="336">
        <f>5260+370</f>
        <v>5630</v>
      </c>
      <c r="H22" s="336">
        <f t="shared" si="0"/>
        <v>370</v>
      </c>
    </row>
    <row r="23" spans="1:8" ht="15.75" x14ac:dyDescent="0.25">
      <c r="A23" s="335" t="s">
        <v>316</v>
      </c>
      <c r="B23" s="336">
        <v>360</v>
      </c>
      <c r="C23" s="336">
        <v>360</v>
      </c>
      <c r="D23" s="336">
        <v>360</v>
      </c>
      <c r="E23" s="336">
        <v>360</v>
      </c>
      <c r="F23" s="336">
        <v>360</v>
      </c>
      <c r="G23" s="336">
        <v>324</v>
      </c>
      <c r="H23" s="336">
        <f t="shared" si="0"/>
        <v>-36</v>
      </c>
    </row>
    <row r="24" spans="1:8" ht="15.75" x14ac:dyDescent="0.25">
      <c r="A24" s="335" t="s">
        <v>317</v>
      </c>
      <c r="B24" s="336">
        <v>100</v>
      </c>
      <c r="C24" s="336">
        <v>100</v>
      </c>
      <c r="D24" s="336">
        <f>100+30</f>
        <v>130</v>
      </c>
      <c r="E24" s="336">
        <v>130</v>
      </c>
      <c r="F24" s="336">
        <v>130</v>
      </c>
      <c r="G24" s="336">
        <v>166</v>
      </c>
      <c r="H24" s="336">
        <f t="shared" si="0"/>
        <v>36</v>
      </c>
    </row>
    <row r="25" spans="1:8" ht="31.5" x14ac:dyDescent="0.25">
      <c r="A25" s="335" t="s">
        <v>318</v>
      </c>
      <c r="B25" s="336">
        <v>5100</v>
      </c>
      <c r="C25" s="336">
        <v>5100</v>
      </c>
      <c r="D25" s="336">
        <f>5100+54</f>
        <v>5154</v>
      </c>
      <c r="E25" s="336">
        <v>5154</v>
      </c>
      <c r="F25" s="336">
        <v>5154</v>
      </c>
      <c r="G25" s="336">
        <f>5154-370</f>
        <v>4784</v>
      </c>
      <c r="H25" s="336">
        <f t="shared" si="0"/>
        <v>-370</v>
      </c>
    </row>
    <row r="26" spans="1:8" ht="15.75" x14ac:dyDescent="0.25">
      <c r="A26" s="335" t="s">
        <v>319</v>
      </c>
      <c r="B26" s="336">
        <v>1400</v>
      </c>
      <c r="C26" s="336">
        <v>1400</v>
      </c>
      <c r="D26" s="336">
        <v>1400</v>
      </c>
      <c r="E26" s="336">
        <v>1400</v>
      </c>
      <c r="F26" s="336">
        <v>1400</v>
      </c>
      <c r="G26" s="336">
        <v>1399</v>
      </c>
      <c r="H26" s="336">
        <f t="shared" si="0"/>
        <v>-1</v>
      </c>
    </row>
    <row r="27" spans="1:8" ht="15.75" x14ac:dyDescent="0.25">
      <c r="A27" s="335" t="s">
        <v>355</v>
      </c>
      <c r="B27" s="336">
        <v>0</v>
      </c>
      <c r="C27" s="336">
        <v>0</v>
      </c>
      <c r="D27" s="336">
        <v>0</v>
      </c>
      <c r="E27" s="336">
        <v>0</v>
      </c>
      <c r="F27" s="336">
        <v>0</v>
      </c>
      <c r="G27" s="336">
        <v>1</v>
      </c>
      <c r="H27" s="336">
        <f t="shared" si="0"/>
        <v>1</v>
      </c>
    </row>
    <row r="28" spans="1:8" ht="15.75" x14ac:dyDescent="0.25">
      <c r="A28" s="335" t="s">
        <v>320</v>
      </c>
      <c r="B28" s="336">
        <v>400</v>
      </c>
      <c r="C28" s="336">
        <v>400</v>
      </c>
      <c r="D28" s="336">
        <v>400</v>
      </c>
      <c r="E28" s="336">
        <v>400</v>
      </c>
      <c r="F28" s="336">
        <v>400</v>
      </c>
      <c r="G28" s="336">
        <v>400</v>
      </c>
      <c r="H28" s="336">
        <f t="shared" si="0"/>
        <v>0</v>
      </c>
    </row>
    <row r="29" spans="1:8" ht="15.75" x14ac:dyDescent="0.2">
      <c r="A29" s="328"/>
      <c r="B29" s="336"/>
      <c r="C29" s="336"/>
      <c r="D29" s="336"/>
      <c r="E29" s="336"/>
      <c r="F29" s="336"/>
      <c r="G29" s="336"/>
      <c r="H29" s="336">
        <f t="shared" si="0"/>
        <v>0</v>
      </c>
    </row>
    <row r="30" spans="1:8" ht="31.5" x14ac:dyDescent="0.2">
      <c r="A30" s="329" t="s">
        <v>295</v>
      </c>
      <c r="B30" s="336"/>
      <c r="C30" s="336"/>
      <c r="D30" s="336"/>
      <c r="E30" s="336"/>
      <c r="F30" s="336"/>
      <c r="G30" s="336"/>
      <c r="H30" s="336">
        <f t="shared" si="0"/>
        <v>0</v>
      </c>
    </row>
    <row r="31" spans="1:8" ht="31.5" x14ac:dyDescent="0.2">
      <c r="A31" s="328" t="s">
        <v>296</v>
      </c>
      <c r="B31" s="336">
        <f>'4. sz. tábla'!B4</f>
        <v>8699</v>
      </c>
      <c r="C31" s="336">
        <f>'4. sz. tábla'!C4</f>
        <v>8764</v>
      </c>
      <c r="D31" s="336">
        <f>'4. sz. tábla'!D4</f>
        <v>8764</v>
      </c>
      <c r="E31" s="336">
        <f>'4. sz. tábla'!E4</f>
        <v>9396</v>
      </c>
      <c r="F31" s="336">
        <f>'4. sz. tábla'!F4</f>
        <v>9396</v>
      </c>
      <c r="G31" s="336">
        <f>'4. sz. tábla'!G4</f>
        <v>9396</v>
      </c>
      <c r="H31" s="336">
        <f t="shared" si="0"/>
        <v>0</v>
      </c>
    </row>
    <row r="32" spans="1:8" ht="31.5" x14ac:dyDescent="0.2">
      <c r="A32" s="328" t="s">
        <v>289</v>
      </c>
      <c r="B32" s="336">
        <f>'4. sz. tábla'!B13</f>
        <v>635</v>
      </c>
      <c r="C32" s="336">
        <f>'4. sz. tábla'!C13</f>
        <v>635</v>
      </c>
      <c r="D32" s="336">
        <f>'4. sz. tábla'!D13</f>
        <v>644</v>
      </c>
      <c r="E32" s="336">
        <f>'4. sz. tábla'!E13</f>
        <v>644</v>
      </c>
      <c r="F32" s="336">
        <f>'4. sz. tábla'!F13</f>
        <v>644</v>
      </c>
      <c r="G32" s="336">
        <f>'4. sz. tábla'!G13</f>
        <v>644</v>
      </c>
      <c r="H32" s="336">
        <f t="shared" si="0"/>
        <v>0</v>
      </c>
    </row>
    <row r="33" spans="1:8" ht="31.5" x14ac:dyDescent="0.2">
      <c r="A33" s="330" t="s">
        <v>297</v>
      </c>
      <c r="B33" s="336">
        <v>0</v>
      </c>
      <c r="C33" s="336">
        <v>72</v>
      </c>
      <c r="D33" s="336">
        <v>72</v>
      </c>
      <c r="E33" s="336">
        <v>72</v>
      </c>
      <c r="F33" s="336">
        <v>72</v>
      </c>
      <c r="G33" s="336">
        <v>72</v>
      </c>
      <c r="H33" s="336">
        <f t="shared" si="0"/>
        <v>0</v>
      </c>
    </row>
    <row r="34" spans="1:8" ht="16.5" thickBot="1" x14ac:dyDescent="0.25">
      <c r="A34" s="331" t="s">
        <v>298</v>
      </c>
      <c r="B34" s="336">
        <f>SUM(B31:B33)</f>
        <v>9334</v>
      </c>
      <c r="C34" s="336">
        <f>SUM(C31:C33)</f>
        <v>9471</v>
      </c>
      <c r="D34" s="336">
        <f>SUM(D31:D33)</f>
        <v>9480</v>
      </c>
      <c r="E34" s="336">
        <f>SUM(E31:E33)</f>
        <v>10112</v>
      </c>
      <c r="F34" s="336">
        <f>SUM(F31:F33)</f>
        <v>10112</v>
      </c>
      <c r="G34" s="336">
        <f>SUM(G31:G33)</f>
        <v>10112</v>
      </c>
      <c r="H34" s="336">
        <f t="shared" si="0"/>
        <v>0</v>
      </c>
    </row>
    <row r="35" spans="1:8" ht="16.5" thickBot="1" x14ac:dyDescent="0.25">
      <c r="A35" s="332"/>
      <c r="B35" s="336"/>
      <c r="C35" s="336"/>
      <c r="D35" s="336"/>
      <c r="E35" s="336"/>
      <c r="F35" s="336"/>
      <c r="G35" s="336"/>
      <c r="H35" s="336">
        <f t="shared" si="0"/>
        <v>0</v>
      </c>
    </row>
    <row r="36" spans="1:8" ht="15.75" x14ac:dyDescent="0.2">
      <c r="A36" s="329" t="s">
        <v>299</v>
      </c>
      <c r="B36" s="336"/>
      <c r="C36" s="336"/>
      <c r="D36" s="336"/>
      <c r="E36" s="336"/>
      <c r="F36" s="336"/>
      <c r="G36" s="336"/>
      <c r="H36" s="336">
        <f t="shared" si="0"/>
        <v>0</v>
      </c>
    </row>
    <row r="37" spans="1:8" ht="15.75" x14ac:dyDescent="0.2">
      <c r="A37" s="333" t="s">
        <v>114</v>
      </c>
      <c r="B37" s="336"/>
      <c r="C37" s="336"/>
      <c r="D37" s="336"/>
      <c r="E37" s="336"/>
      <c r="F37" s="336"/>
      <c r="G37" s="336"/>
      <c r="H37" s="336">
        <f t="shared" si="0"/>
        <v>0</v>
      </c>
    </row>
    <row r="38" spans="1:8" ht="15.75" x14ac:dyDescent="0.2">
      <c r="A38" s="333" t="s">
        <v>115</v>
      </c>
      <c r="B38" s="336"/>
      <c r="C38" s="336"/>
      <c r="D38" s="336"/>
      <c r="E38" s="336"/>
      <c r="F38" s="336"/>
      <c r="G38" s="336"/>
      <c r="H38" s="336">
        <f t="shared" si="0"/>
        <v>0</v>
      </c>
    </row>
    <row r="39" spans="1:8" ht="15.75" x14ac:dyDescent="0.2">
      <c r="A39" s="333" t="s">
        <v>300</v>
      </c>
      <c r="B39" s="336">
        <v>1173</v>
      </c>
      <c r="C39" s="336">
        <v>1173</v>
      </c>
      <c r="D39" s="336">
        <v>1173</v>
      </c>
      <c r="E39" s="336">
        <v>1173</v>
      </c>
      <c r="F39" s="336">
        <v>1173</v>
      </c>
      <c r="G39" s="336">
        <v>1173</v>
      </c>
      <c r="H39" s="336">
        <f t="shared" si="0"/>
        <v>0</v>
      </c>
    </row>
    <row r="40" spans="1:8" ht="15.75" x14ac:dyDescent="0.2">
      <c r="A40" s="333" t="s">
        <v>247</v>
      </c>
      <c r="B40" s="336"/>
      <c r="C40" s="336"/>
      <c r="D40" s="336"/>
      <c r="E40" s="336"/>
      <c r="F40" s="336"/>
      <c r="G40" s="336"/>
      <c r="H40" s="336">
        <f t="shared" si="0"/>
        <v>0</v>
      </c>
    </row>
    <row r="41" spans="1:8" ht="15.75" x14ac:dyDescent="0.2">
      <c r="A41" s="333" t="s">
        <v>341</v>
      </c>
      <c r="B41" s="336"/>
      <c r="C41" s="336"/>
      <c r="D41" s="336"/>
      <c r="E41" s="336"/>
      <c r="F41" s="336"/>
      <c r="G41" s="336"/>
      <c r="H41" s="336">
        <f t="shared" si="0"/>
        <v>0</v>
      </c>
    </row>
    <row r="42" spans="1:8" ht="15.75" x14ac:dyDescent="0.2">
      <c r="A42" s="333" t="s">
        <v>116</v>
      </c>
      <c r="B42" s="336">
        <v>100</v>
      </c>
      <c r="C42" s="336">
        <v>100</v>
      </c>
      <c r="D42" s="336">
        <v>100</v>
      </c>
      <c r="E42" s="336">
        <v>100</v>
      </c>
      <c r="F42" s="336">
        <v>100</v>
      </c>
      <c r="G42" s="336">
        <v>100</v>
      </c>
      <c r="H42" s="336">
        <f t="shared" si="0"/>
        <v>0</v>
      </c>
    </row>
    <row r="43" spans="1:8" ht="15.75" x14ac:dyDescent="0.2">
      <c r="A43" s="333" t="s">
        <v>117</v>
      </c>
      <c r="B43" s="336"/>
      <c r="C43" s="336"/>
      <c r="D43" s="336"/>
      <c r="E43" s="336"/>
      <c r="F43" s="336"/>
      <c r="G43" s="336"/>
      <c r="H43" s="336">
        <f t="shared" si="0"/>
        <v>0</v>
      </c>
    </row>
    <row r="44" spans="1:8" ht="15.75" x14ac:dyDescent="0.2">
      <c r="A44" s="333" t="s">
        <v>301</v>
      </c>
      <c r="B44" s="336"/>
      <c r="C44" s="336"/>
      <c r="D44" s="336"/>
      <c r="E44" s="336"/>
      <c r="F44" s="336"/>
      <c r="G44" s="336"/>
      <c r="H44" s="336">
        <f t="shared" si="0"/>
        <v>0</v>
      </c>
    </row>
    <row r="45" spans="1:8" ht="15.75" x14ac:dyDescent="0.2">
      <c r="A45" s="333" t="s">
        <v>356</v>
      </c>
      <c r="B45" s="336">
        <v>342</v>
      </c>
      <c r="C45" s="336">
        <v>342</v>
      </c>
      <c r="D45" s="336">
        <v>342</v>
      </c>
      <c r="E45" s="336">
        <v>342</v>
      </c>
      <c r="F45" s="336">
        <v>342</v>
      </c>
      <c r="G45" s="336">
        <v>342</v>
      </c>
      <c r="H45" s="336">
        <f t="shared" si="0"/>
        <v>0</v>
      </c>
    </row>
    <row r="46" spans="1:8" ht="15.75" x14ac:dyDescent="0.2">
      <c r="A46" s="333" t="s">
        <v>421</v>
      </c>
      <c r="B46" s="336"/>
      <c r="C46" s="336"/>
      <c r="D46" s="336"/>
      <c r="F46" s="336">
        <f>2200</f>
        <v>2200</v>
      </c>
      <c r="G46" s="336">
        <v>2200</v>
      </c>
      <c r="H46" s="336">
        <f t="shared" si="0"/>
        <v>0</v>
      </c>
    </row>
    <row r="47" spans="1:8" ht="31.5" x14ac:dyDescent="0.2">
      <c r="A47" s="333" t="s">
        <v>321</v>
      </c>
      <c r="B47" s="336">
        <v>250</v>
      </c>
      <c r="C47" s="336">
        <v>250</v>
      </c>
      <c r="D47" s="336">
        <v>250</v>
      </c>
      <c r="E47" s="336">
        <v>250</v>
      </c>
      <c r="F47" s="336">
        <f>250+577</f>
        <v>827</v>
      </c>
      <c r="G47" s="336">
        <v>827</v>
      </c>
      <c r="H47" s="336">
        <f t="shared" si="0"/>
        <v>0</v>
      </c>
    </row>
    <row r="48" spans="1:8" ht="15.75" x14ac:dyDescent="0.2">
      <c r="A48" s="334" t="s">
        <v>302</v>
      </c>
      <c r="B48" s="336">
        <f>SUM(B37:B47)</f>
        <v>1865</v>
      </c>
      <c r="C48" s="336">
        <f t="shared" ref="C48:G48" si="2">SUM(C37:C47)</f>
        <v>1865</v>
      </c>
      <c r="D48" s="336">
        <f t="shared" si="2"/>
        <v>1865</v>
      </c>
      <c r="E48" s="336">
        <f t="shared" si="2"/>
        <v>1865</v>
      </c>
      <c r="F48" s="336">
        <f t="shared" si="2"/>
        <v>4642</v>
      </c>
      <c r="G48" s="336">
        <f t="shared" si="2"/>
        <v>4642</v>
      </c>
      <c r="H48" s="336">
        <f t="shared" si="0"/>
        <v>0</v>
      </c>
    </row>
    <row r="49" spans="1:8" x14ac:dyDescent="0.2">
      <c r="A49" s="324"/>
      <c r="B49" s="336"/>
      <c r="C49" s="336"/>
      <c r="D49" s="336"/>
      <c r="E49" s="336"/>
      <c r="F49" s="336"/>
      <c r="G49" s="336"/>
      <c r="H49" s="336">
        <f t="shared" si="0"/>
        <v>0</v>
      </c>
    </row>
    <row r="50" spans="1:8" ht="16.5" thickBot="1" x14ac:dyDescent="0.25">
      <c r="A50" s="331" t="s">
        <v>303</v>
      </c>
      <c r="B50" s="336">
        <f>B7+B8+B9+B34+B48</f>
        <v>56163</v>
      </c>
      <c r="C50" s="336">
        <f t="shared" ref="C50:G50" si="3">C7+C8+C9+C34+C48</f>
        <v>57570</v>
      </c>
      <c r="D50" s="336">
        <f t="shared" si="3"/>
        <v>58661</v>
      </c>
      <c r="E50" s="336">
        <f t="shared" si="3"/>
        <v>59673</v>
      </c>
      <c r="F50" s="336">
        <f t="shared" si="3"/>
        <v>62450</v>
      </c>
      <c r="G50" s="336">
        <f t="shared" si="3"/>
        <v>62450</v>
      </c>
      <c r="H50" s="336">
        <f t="shared" si="0"/>
        <v>0</v>
      </c>
    </row>
  </sheetData>
  <sheetProtection selectLockedCells="1" selectUnlockedCells="1"/>
  <phoneticPr fontId="27" type="noConversion"/>
  <pageMargins left="0.67677083333333332" right="0.27374999999999999" top="0.98402777777777772" bottom="0.98402777777777772" header="0.51180555555555551" footer="0.51180555555555551"/>
  <pageSetup paperSize="9" scale="73" firstPageNumber="0" orientation="portrait" r:id="rId1"/>
  <headerFooter alignWithMargins="0">
    <oddHeader>&amp;LPécsely Község Önkormányzata&amp;C&amp;"Arial,Félkövér"MŰKÖDÉSI KIADÁSOK 2016. ÉV
3. melléklet a .../2017. (......) rendelethez&amp;R&amp;P. oldalezer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I89"/>
  <sheetViews>
    <sheetView view="pageLayout" topLeftCell="A3" zoomScaleSheetLayoutView="80" workbookViewId="0">
      <selection activeCell="G4" sqref="G4"/>
    </sheetView>
  </sheetViews>
  <sheetFormatPr defaultColWidth="9.140625" defaultRowHeight="15.75" customHeight="1" x14ac:dyDescent="0.2"/>
  <cols>
    <col min="1" max="1" width="57.5703125" style="91" bestFit="1" customWidth="1"/>
    <col min="2" max="2" width="10.7109375" style="89" bestFit="1" customWidth="1"/>
    <col min="3" max="6" width="10.5703125" style="89" bestFit="1" customWidth="1"/>
    <col min="7" max="7" width="10.5703125" style="89" customWidth="1"/>
    <col min="8" max="8" width="8.140625" style="89" bestFit="1" customWidth="1"/>
    <col min="9" max="10" width="13.7109375" style="89" customWidth="1"/>
    <col min="11" max="11" width="10.28515625" style="89" customWidth="1"/>
    <col min="12" max="12" width="16.85546875" style="89" customWidth="1"/>
    <col min="13" max="13" width="15.7109375" style="89" customWidth="1"/>
    <col min="14" max="14" width="11.42578125" style="89" customWidth="1"/>
    <col min="15" max="15" width="11" style="89" customWidth="1"/>
    <col min="16" max="16" width="13.7109375" style="89" customWidth="1"/>
    <col min="17" max="17" width="16.28515625" style="89" customWidth="1"/>
    <col min="18" max="18" width="14.28515625" style="89" customWidth="1"/>
    <col min="19" max="19" width="13" style="89" customWidth="1"/>
    <col min="20" max="20" width="14.140625" style="89" customWidth="1"/>
    <col min="21" max="21" width="13.5703125" style="89" customWidth="1"/>
    <col min="22" max="16384" width="9.140625" style="89"/>
  </cols>
  <sheetData>
    <row r="2" spans="1:9" ht="15.75" customHeight="1" thickBot="1" x14ac:dyDescent="0.25"/>
    <row r="3" spans="1:9" s="3" customFormat="1" ht="63.75" customHeight="1" thickBot="1" x14ac:dyDescent="0.25">
      <c r="A3" s="196" t="s">
        <v>241</v>
      </c>
      <c r="B3" s="193" t="s">
        <v>391</v>
      </c>
      <c r="C3" s="194" t="s">
        <v>392</v>
      </c>
      <c r="D3" s="430" t="s">
        <v>409</v>
      </c>
      <c r="E3" s="430" t="s">
        <v>416</v>
      </c>
      <c r="F3" s="430" t="s">
        <v>420</v>
      </c>
      <c r="G3" s="430" t="s">
        <v>424</v>
      </c>
      <c r="H3" s="193" t="s">
        <v>393</v>
      </c>
    </row>
    <row r="4" spans="1:9" s="3" customFormat="1" ht="31.5" x14ac:dyDescent="0.2">
      <c r="A4" s="385" t="s">
        <v>357</v>
      </c>
      <c r="B4" s="395">
        <f>SUM(B5:B12)</f>
        <v>8699</v>
      </c>
      <c r="C4" s="395">
        <f>SUM(C5:C12)</f>
        <v>8764</v>
      </c>
      <c r="D4" s="395">
        <f>SUM(D5:D12)</f>
        <v>8764</v>
      </c>
      <c r="E4" s="395">
        <f>SUM(E5:E12)</f>
        <v>9396</v>
      </c>
      <c r="F4" s="395">
        <f>SUM(F5:F12)</f>
        <v>9396</v>
      </c>
      <c r="G4" s="395">
        <f>SUM(G5:G12)</f>
        <v>9396</v>
      </c>
      <c r="H4" s="395">
        <f>G4-F4</f>
        <v>0</v>
      </c>
      <c r="I4" s="4"/>
    </row>
    <row r="5" spans="1:9" s="3" customFormat="1" ht="18" customHeight="1" x14ac:dyDescent="0.2">
      <c r="A5" s="387" t="s">
        <v>358</v>
      </c>
      <c r="B5" s="393">
        <v>3988</v>
      </c>
      <c r="C5" s="396">
        <f>3988-71</f>
        <v>3917</v>
      </c>
      <c r="D5" s="396">
        <f>3988-71</f>
        <v>3917</v>
      </c>
      <c r="E5" s="396">
        <v>3917</v>
      </c>
      <c r="F5" s="396">
        <v>3917</v>
      </c>
      <c r="G5" s="396">
        <v>3917</v>
      </c>
      <c r="H5" s="395">
        <f t="shared" ref="H5:H26" si="0">G5-F5</f>
        <v>0</v>
      </c>
    </row>
    <row r="6" spans="1:9" s="3" customFormat="1" ht="18" customHeight="1" x14ac:dyDescent="0.2">
      <c r="A6" s="388" t="s">
        <v>359</v>
      </c>
      <c r="B6" s="393">
        <v>4083</v>
      </c>
      <c r="C6" s="397">
        <v>4083</v>
      </c>
      <c r="D6" s="397">
        <v>4083</v>
      </c>
      <c r="E6" s="397">
        <f>4083+632</f>
        <v>4715</v>
      </c>
      <c r="F6" s="397">
        <v>4715</v>
      </c>
      <c r="G6" s="397">
        <v>4715</v>
      </c>
      <c r="H6" s="395">
        <f t="shared" si="0"/>
        <v>0</v>
      </c>
    </row>
    <row r="7" spans="1:9" s="3" customFormat="1" ht="18" customHeight="1" x14ac:dyDescent="0.2">
      <c r="A7" s="388" t="s">
        <v>360</v>
      </c>
      <c r="B7" s="393"/>
      <c r="C7" s="397"/>
      <c r="D7" s="397"/>
      <c r="E7" s="397"/>
      <c r="F7" s="397"/>
      <c r="G7" s="397"/>
      <c r="H7" s="395">
        <f t="shared" si="0"/>
        <v>0</v>
      </c>
    </row>
    <row r="8" spans="1:9" s="3" customFormat="1" x14ac:dyDescent="0.2">
      <c r="A8" s="387" t="s">
        <v>361</v>
      </c>
      <c r="B8" s="393"/>
      <c r="C8" s="396"/>
      <c r="D8" s="396"/>
      <c r="E8" s="396"/>
      <c r="F8" s="396"/>
      <c r="G8" s="396"/>
      <c r="H8" s="395">
        <f t="shared" si="0"/>
        <v>0</v>
      </c>
    </row>
    <row r="9" spans="1:9" ht="16.5" customHeight="1" x14ac:dyDescent="0.2">
      <c r="A9" s="389" t="s">
        <v>362</v>
      </c>
      <c r="B9" s="393"/>
      <c r="C9" s="396"/>
      <c r="D9" s="396"/>
      <c r="E9" s="396"/>
      <c r="F9" s="396"/>
      <c r="G9" s="396"/>
      <c r="H9" s="395">
        <f t="shared" si="0"/>
        <v>0</v>
      </c>
      <c r="I9" s="384"/>
    </row>
    <row r="10" spans="1:9" ht="25.5" x14ac:dyDescent="0.2">
      <c r="A10" s="387" t="s">
        <v>363</v>
      </c>
      <c r="B10" s="393">
        <v>501</v>
      </c>
      <c r="C10" s="396">
        <v>501</v>
      </c>
      <c r="D10" s="396">
        <v>501</v>
      </c>
      <c r="E10" s="396">
        <v>501</v>
      </c>
      <c r="F10" s="396">
        <v>501</v>
      </c>
      <c r="G10" s="396">
        <v>501</v>
      </c>
      <c r="H10" s="395">
        <f t="shared" si="0"/>
        <v>0</v>
      </c>
    </row>
    <row r="11" spans="1:9" ht="25.5" x14ac:dyDescent="0.2">
      <c r="A11" s="400" t="s">
        <v>407</v>
      </c>
      <c r="B11" s="393">
        <v>127</v>
      </c>
      <c r="C11" s="396">
        <f>127+136</f>
        <v>263</v>
      </c>
      <c r="D11" s="396">
        <f>127+136</f>
        <v>263</v>
      </c>
      <c r="E11" s="396">
        <v>263</v>
      </c>
      <c r="F11" s="396">
        <v>263</v>
      </c>
      <c r="G11" s="396">
        <v>263</v>
      </c>
      <c r="H11" s="395">
        <f t="shared" si="0"/>
        <v>0</v>
      </c>
    </row>
    <row r="12" spans="1:9" ht="16.5" customHeight="1" x14ac:dyDescent="0.2">
      <c r="A12" s="390"/>
      <c r="B12" s="393"/>
      <c r="C12" s="396"/>
      <c r="D12" s="396"/>
      <c r="E12" s="396"/>
      <c r="F12" s="396"/>
      <c r="G12" s="396"/>
      <c r="H12" s="395">
        <f t="shared" si="0"/>
        <v>0</v>
      </c>
    </row>
    <row r="13" spans="1:9" ht="16.5" customHeight="1" x14ac:dyDescent="0.2">
      <c r="A13" s="385" t="s">
        <v>364</v>
      </c>
      <c r="B13" s="395">
        <f t="shared" ref="B13:G13" si="1">B14+B24+B18</f>
        <v>635</v>
      </c>
      <c r="C13" s="395">
        <f t="shared" si="1"/>
        <v>635</v>
      </c>
      <c r="D13" s="395">
        <f t="shared" si="1"/>
        <v>644</v>
      </c>
      <c r="E13" s="395">
        <f t="shared" si="1"/>
        <v>644</v>
      </c>
      <c r="F13" s="395">
        <f t="shared" si="1"/>
        <v>644</v>
      </c>
      <c r="G13" s="395">
        <f t="shared" si="1"/>
        <v>644</v>
      </c>
      <c r="H13" s="395">
        <f t="shared" si="0"/>
        <v>0</v>
      </c>
    </row>
    <row r="14" spans="1:9" ht="16.5" customHeight="1" x14ac:dyDescent="0.2">
      <c r="A14" s="401" t="s">
        <v>365</v>
      </c>
      <c r="B14" s="402">
        <v>300</v>
      </c>
      <c r="C14" s="402">
        <v>300</v>
      </c>
      <c r="D14" s="402">
        <v>300</v>
      </c>
      <c r="E14" s="402">
        <v>300</v>
      </c>
      <c r="F14" s="402">
        <v>300</v>
      </c>
      <c r="G14" s="402">
        <v>300</v>
      </c>
      <c r="H14" s="395">
        <f t="shared" si="0"/>
        <v>0</v>
      </c>
    </row>
    <row r="15" spans="1:9" ht="16.5" customHeight="1" x14ac:dyDescent="0.2">
      <c r="A15" s="386" t="s">
        <v>366</v>
      </c>
      <c r="B15" s="393">
        <v>0</v>
      </c>
      <c r="C15" s="398">
        <v>0</v>
      </c>
      <c r="D15" s="398">
        <v>0</v>
      </c>
      <c r="E15" s="398">
        <v>100</v>
      </c>
      <c r="F15" s="398">
        <v>100</v>
      </c>
      <c r="G15" s="398">
        <v>100</v>
      </c>
      <c r="H15" s="395">
        <f t="shared" si="0"/>
        <v>0</v>
      </c>
    </row>
    <row r="16" spans="1:9" ht="16.5" customHeight="1" x14ac:dyDescent="0.2">
      <c r="A16" s="386" t="s">
        <v>367</v>
      </c>
      <c r="B16" s="393">
        <v>0</v>
      </c>
      <c r="C16" s="398">
        <v>0</v>
      </c>
      <c r="D16" s="398">
        <v>0</v>
      </c>
      <c r="E16" s="398">
        <v>0</v>
      </c>
      <c r="F16" s="398">
        <v>0</v>
      </c>
      <c r="G16" s="398">
        <v>0</v>
      </c>
      <c r="H16" s="395">
        <f t="shared" si="0"/>
        <v>0</v>
      </c>
    </row>
    <row r="17" spans="1:8" ht="15" x14ac:dyDescent="0.2">
      <c r="A17" s="386" t="s">
        <v>368</v>
      </c>
      <c r="B17" s="393">
        <v>0</v>
      </c>
      <c r="C17" s="398">
        <v>0</v>
      </c>
      <c r="D17" s="398">
        <v>0</v>
      </c>
      <c r="E17" s="398">
        <v>0</v>
      </c>
      <c r="F17" s="398">
        <v>0</v>
      </c>
      <c r="G17" s="398">
        <v>0</v>
      </c>
      <c r="H17" s="395">
        <f t="shared" si="0"/>
        <v>0</v>
      </c>
    </row>
    <row r="18" spans="1:8" ht="16.5" customHeight="1" x14ac:dyDescent="0.2">
      <c r="A18" s="386" t="s">
        <v>374</v>
      </c>
      <c r="B18" s="393"/>
      <c r="C18" s="398"/>
      <c r="D18" s="398"/>
      <c r="E18" s="398"/>
      <c r="F18" s="398"/>
      <c r="G18" s="398"/>
      <c r="H18" s="395">
        <f t="shared" si="0"/>
        <v>0</v>
      </c>
    </row>
    <row r="19" spans="1:8" ht="16.5" customHeight="1" x14ac:dyDescent="0.2">
      <c r="A19" s="386" t="s">
        <v>369</v>
      </c>
      <c r="B19" s="393"/>
      <c r="C19" s="398"/>
      <c r="D19" s="398"/>
      <c r="E19" s="398"/>
      <c r="F19" s="398"/>
      <c r="G19" s="398"/>
      <c r="H19" s="395">
        <f t="shared" si="0"/>
        <v>0</v>
      </c>
    </row>
    <row r="20" spans="1:8" ht="16.5" customHeight="1" x14ac:dyDescent="0.2">
      <c r="A20" s="386" t="s">
        <v>370</v>
      </c>
      <c r="B20" s="393"/>
      <c r="C20" s="398"/>
      <c r="D20" s="398"/>
      <c r="E20" s="398"/>
      <c r="F20" s="398"/>
      <c r="G20" s="398"/>
      <c r="H20" s="395">
        <f t="shared" si="0"/>
        <v>0</v>
      </c>
    </row>
    <row r="21" spans="1:8" ht="16.5" customHeight="1" x14ac:dyDescent="0.2">
      <c r="A21" s="387" t="s">
        <v>371</v>
      </c>
      <c r="B21" s="393"/>
      <c r="C21" s="398"/>
      <c r="D21" s="398"/>
      <c r="E21" s="398"/>
      <c r="F21" s="398"/>
      <c r="G21" s="398"/>
      <c r="H21" s="395">
        <f t="shared" si="0"/>
        <v>0</v>
      </c>
    </row>
    <row r="22" spans="1:8" ht="16.5" customHeight="1" x14ac:dyDescent="0.2">
      <c r="A22" s="386" t="s">
        <v>372</v>
      </c>
      <c r="B22" s="393"/>
      <c r="C22" s="398"/>
      <c r="D22" s="398"/>
      <c r="E22" s="398"/>
      <c r="F22" s="398"/>
      <c r="G22" s="398"/>
      <c r="H22" s="395">
        <f t="shared" si="0"/>
        <v>0</v>
      </c>
    </row>
    <row r="23" spans="1:8" ht="16.5" customHeight="1" x14ac:dyDescent="0.2">
      <c r="A23" s="392"/>
      <c r="B23" s="393"/>
      <c r="C23" s="398"/>
      <c r="D23" s="398"/>
      <c r="E23" s="398"/>
      <c r="F23" s="398"/>
      <c r="G23" s="398"/>
      <c r="H23" s="395">
        <f t="shared" si="0"/>
        <v>0</v>
      </c>
    </row>
    <row r="24" spans="1:8" ht="15" customHeight="1" x14ac:dyDescent="0.2">
      <c r="A24" s="400" t="s">
        <v>373</v>
      </c>
      <c r="B24" s="393">
        <v>335</v>
      </c>
      <c r="C24" s="398">
        <v>335</v>
      </c>
      <c r="D24" s="398">
        <f>335+9</f>
        <v>344</v>
      </c>
      <c r="E24" s="398">
        <v>344</v>
      </c>
      <c r="F24" s="398">
        <v>344</v>
      </c>
      <c r="G24" s="398">
        <v>344</v>
      </c>
      <c r="H24" s="395">
        <f t="shared" si="0"/>
        <v>0</v>
      </c>
    </row>
    <row r="25" spans="1:8" ht="15" customHeight="1" x14ac:dyDescent="0.2">
      <c r="A25" s="389"/>
      <c r="B25" s="393"/>
      <c r="C25" s="398"/>
      <c r="D25" s="398"/>
      <c r="E25" s="398"/>
      <c r="F25" s="398"/>
      <c r="G25" s="398"/>
      <c r="H25" s="395">
        <f t="shared" si="0"/>
        <v>0</v>
      </c>
    </row>
    <row r="26" spans="1:8" ht="15" customHeight="1" x14ac:dyDescent="0.25">
      <c r="A26" s="391" t="s">
        <v>108</v>
      </c>
      <c r="B26" s="394">
        <f>B13+B4</f>
        <v>9334</v>
      </c>
      <c r="C26" s="399">
        <f>C13+C4</f>
        <v>9399</v>
      </c>
      <c r="D26" s="399">
        <f>D13+D4</f>
        <v>9408</v>
      </c>
      <c r="E26" s="399">
        <f>E13+E4</f>
        <v>10040</v>
      </c>
      <c r="F26" s="399">
        <f>F13+F4</f>
        <v>10040</v>
      </c>
      <c r="G26" s="399">
        <f>G13+G4</f>
        <v>10040</v>
      </c>
      <c r="H26" s="395">
        <f t="shared" si="0"/>
        <v>0</v>
      </c>
    </row>
    <row r="27" spans="1:8" ht="15" customHeight="1" x14ac:dyDescent="0.2">
      <c r="A27" s="309"/>
      <c r="B27" s="310"/>
      <c r="C27" s="308"/>
      <c r="D27" s="308"/>
      <c r="E27" s="308"/>
      <c r="F27" s="308"/>
      <c r="G27" s="308"/>
      <c r="H27" s="307"/>
    </row>
    <row r="28" spans="1:8" ht="16.5" customHeight="1" x14ac:dyDescent="0.2">
      <c r="A28" s="168"/>
      <c r="B28" s="169"/>
      <c r="C28" s="169"/>
      <c r="D28" s="169"/>
      <c r="E28" s="169"/>
      <c r="F28" s="169"/>
      <c r="G28" s="169"/>
      <c r="H28" s="311"/>
    </row>
    <row r="29" spans="1:8" ht="16.5" customHeight="1" x14ac:dyDescent="0.2">
      <c r="A29" s="168"/>
      <c r="B29" s="169"/>
      <c r="C29" s="169"/>
      <c r="D29" s="169"/>
      <c r="E29" s="169"/>
      <c r="F29" s="169"/>
      <c r="G29" s="169"/>
      <c r="H29" s="311"/>
    </row>
    <row r="30" spans="1:8" ht="16.5" customHeight="1" x14ac:dyDescent="0.2">
      <c r="A30" s="168"/>
      <c r="B30" s="169"/>
      <c r="C30" s="169"/>
      <c r="D30" s="169"/>
      <c r="E30" s="169"/>
      <c r="F30" s="169"/>
      <c r="G30" s="169"/>
      <c r="H30" s="311"/>
    </row>
    <row r="31" spans="1:8" ht="16.5" customHeight="1" x14ac:dyDescent="0.2">
      <c r="A31" s="168"/>
      <c r="B31" s="169"/>
      <c r="C31" s="169"/>
      <c r="D31" s="169"/>
      <c r="E31" s="169"/>
      <c r="F31" s="169"/>
      <c r="G31" s="169"/>
      <c r="H31" s="311"/>
    </row>
    <row r="32" spans="1:8" ht="16.5" customHeight="1" x14ac:dyDescent="0.2">
      <c r="A32" s="168"/>
      <c r="B32" s="169"/>
      <c r="C32" s="169"/>
      <c r="D32" s="169"/>
      <c r="E32" s="169"/>
      <c r="F32" s="169"/>
      <c r="G32" s="169"/>
      <c r="H32" s="311"/>
    </row>
    <row r="33" spans="1:8" ht="16.5" customHeight="1" x14ac:dyDescent="0.2">
      <c r="A33" s="312"/>
      <c r="B33" s="169"/>
      <c r="C33" s="169"/>
      <c r="D33" s="169"/>
      <c r="E33" s="169"/>
      <c r="F33" s="169"/>
      <c r="G33" s="169"/>
      <c r="H33" s="311"/>
    </row>
    <row r="34" spans="1:8" ht="16.5" customHeight="1" x14ac:dyDescent="0.2">
      <c r="A34" s="312"/>
      <c r="B34" s="169"/>
      <c r="C34" s="169"/>
      <c r="D34" s="169"/>
      <c r="E34" s="169"/>
      <c r="F34" s="169"/>
      <c r="G34" s="169"/>
      <c r="H34" s="311"/>
    </row>
    <row r="35" spans="1:8" ht="16.5" customHeight="1" x14ac:dyDescent="0.2">
      <c r="A35" s="168"/>
      <c r="B35" s="169"/>
      <c r="C35" s="169"/>
      <c r="D35" s="169"/>
      <c r="E35" s="169"/>
      <c r="F35" s="169"/>
      <c r="G35" s="169"/>
      <c r="H35" s="311"/>
    </row>
    <row r="36" spans="1:8" ht="27.75" customHeight="1" x14ac:dyDescent="0.2">
      <c r="A36" s="168"/>
      <c r="B36" s="169"/>
      <c r="C36" s="169"/>
      <c r="D36" s="169"/>
      <c r="E36" s="169"/>
      <c r="F36" s="169"/>
      <c r="G36" s="169"/>
      <c r="H36" s="311"/>
    </row>
    <row r="37" spans="1:8" ht="29.25" customHeight="1" x14ac:dyDescent="0.2">
      <c r="A37" s="168"/>
      <c r="B37" s="169"/>
      <c r="C37" s="169"/>
      <c r="D37" s="169"/>
      <c r="E37" s="169"/>
      <c r="F37" s="169"/>
      <c r="G37" s="169"/>
      <c r="H37" s="311"/>
    </row>
    <row r="38" spans="1:8" ht="16.5" customHeight="1" x14ac:dyDescent="0.2">
      <c r="A38" s="168"/>
      <c r="B38" s="169"/>
      <c r="C38" s="169"/>
      <c r="D38" s="169"/>
      <c r="E38" s="169"/>
      <c r="F38" s="169"/>
      <c r="G38" s="169"/>
      <c r="H38" s="311"/>
    </row>
    <row r="39" spans="1:8" ht="16.5" customHeight="1" x14ac:dyDescent="0.2">
      <c r="A39" s="168"/>
      <c r="B39" s="169"/>
      <c r="C39" s="169"/>
      <c r="D39" s="169"/>
      <c r="E39" s="169"/>
      <c r="F39" s="169"/>
      <c r="G39" s="169"/>
      <c r="H39" s="311"/>
    </row>
    <row r="40" spans="1:8" ht="21" customHeight="1" x14ac:dyDescent="0.2">
      <c r="A40" s="168"/>
      <c r="B40" s="169"/>
      <c r="C40" s="169"/>
      <c r="D40" s="169"/>
      <c r="E40" s="169"/>
      <c r="F40" s="169"/>
      <c r="G40" s="169"/>
      <c r="H40" s="311"/>
    </row>
    <row r="41" spans="1:8" ht="16.5" customHeight="1" x14ac:dyDescent="0.2">
      <c r="A41" s="168"/>
      <c r="B41" s="169"/>
      <c r="C41" s="169"/>
      <c r="D41" s="169"/>
      <c r="E41" s="169"/>
      <c r="F41" s="169"/>
      <c r="G41" s="169"/>
      <c r="H41" s="311"/>
    </row>
    <row r="42" spans="1:8" ht="16.5" customHeight="1" x14ac:dyDescent="0.2">
      <c r="A42" s="168"/>
      <c r="B42" s="169"/>
      <c r="C42" s="169"/>
      <c r="D42" s="169"/>
      <c r="E42" s="169"/>
      <c r="F42" s="169"/>
      <c r="G42" s="169"/>
      <c r="H42" s="311"/>
    </row>
    <row r="43" spans="1:8" ht="18.75" customHeight="1" x14ac:dyDescent="0.2">
      <c r="A43" s="312"/>
      <c r="B43" s="169"/>
      <c r="C43" s="169"/>
      <c r="D43" s="169"/>
      <c r="E43" s="169"/>
      <c r="F43" s="169"/>
      <c r="G43" s="169"/>
      <c r="H43" s="311"/>
    </row>
    <row r="44" spans="1:8" ht="16.5" customHeight="1" x14ac:dyDescent="0.2">
      <c r="A44" s="168"/>
      <c r="B44" s="169"/>
      <c r="C44" s="169"/>
      <c r="D44" s="169"/>
      <c r="E44" s="169"/>
      <c r="F44" s="169"/>
      <c r="G44" s="169"/>
      <c r="H44" s="311"/>
    </row>
    <row r="45" spans="1:8" ht="18" customHeight="1" x14ac:dyDescent="0.2">
      <c r="A45" s="168"/>
      <c r="B45" s="169"/>
      <c r="C45" s="169"/>
      <c r="D45" s="169"/>
      <c r="E45" s="169"/>
      <c r="F45" s="169"/>
      <c r="G45" s="169"/>
      <c r="H45" s="311"/>
    </row>
    <row r="46" spans="1:8" ht="30" customHeight="1" x14ac:dyDescent="0.2">
      <c r="A46" s="313"/>
      <c r="B46" s="169"/>
      <c r="C46" s="169"/>
      <c r="D46" s="169"/>
      <c r="E46" s="169"/>
      <c r="F46" s="169"/>
      <c r="G46" s="169"/>
      <c r="H46" s="311"/>
    </row>
    <row r="47" spans="1:8" ht="17.25" customHeight="1" x14ac:dyDescent="0.2">
      <c r="A47" s="168"/>
      <c r="B47" s="311"/>
      <c r="C47" s="311"/>
      <c r="D47" s="311"/>
      <c r="E47" s="311"/>
      <c r="F47" s="311"/>
      <c r="G47" s="311"/>
      <c r="H47" s="311"/>
    </row>
    <row r="48" spans="1:8" ht="17.25" customHeight="1" x14ac:dyDescent="0.2">
      <c r="A48" s="168"/>
      <c r="B48" s="169"/>
      <c r="C48" s="169"/>
      <c r="D48" s="169"/>
      <c r="E48" s="169"/>
      <c r="F48" s="169"/>
      <c r="G48" s="169"/>
      <c r="H48" s="169"/>
    </row>
    <row r="49" spans="1:8" ht="17.25" customHeight="1" x14ac:dyDescent="0.2">
      <c r="A49" s="168"/>
      <c r="B49" s="169"/>
      <c r="C49" s="169"/>
      <c r="D49" s="169"/>
      <c r="E49" s="169"/>
      <c r="F49" s="169"/>
      <c r="G49" s="169"/>
      <c r="H49" s="169"/>
    </row>
    <row r="50" spans="1:8" s="3" customFormat="1" ht="63.75" customHeight="1" x14ac:dyDescent="0.2">
      <c r="A50" s="314"/>
      <c r="B50" s="315"/>
      <c r="C50" s="315"/>
      <c r="D50" s="315"/>
      <c r="E50" s="315"/>
      <c r="F50" s="315"/>
      <c r="G50" s="315"/>
      <c r="H50" s="315"/>
    </row>
    <row r="51" spans="1:8" ht="29.25" customHeight="1" x14ac:dyDescent="0.2">
      <c r="A51" s="313"/>
      <c r="B51" s="169"/>
      <c r="C51" s="169"/>
      <c r="D51" s="169"/>
      <c r="E51" s="169"/>
      <c r="F51" s="169"/>
      <c r="G51" s="169"/>
      <c r="H51" s="311"/>
    </row>
    <row r="52" spans="1:8" ht="19.5" customHeight="1" x14ac:dyDescent="0.2">
      <c r="A52" s="313"/>
      <c r="B52" s="169"/>
      <c r="C52" s="169"/>
      <c r="D52" s="169"/>
      <c r="E52" s="169"/>
      <c r="F52" s="169"/>
      <c r="G52" s="169"/>
      <c r="H52" s="311"/>
    </row>
    <row r="53" spans="1:8" ht="18" customHeight="1" x14ac:dyDescent="0.2">
      <c r="A53" s="312"/>
      <c r="B53" s="169"/>
      <c r="C53" s="169"/>
      <c r="D53" s="169"/>
      <c r="E53" s="169"/>
      <c r="F53" s="169"/>
      <c r="G53" s="169"/>
      <c r="H53" s="311"/>
    </row>
    <row r="54" spans="1:8" ht="16.5" customHeight="1" x14ac:dyDescent="0.2">
      <c r="A54" s="313"/>
      <c r="B54" s="169"/>
      <c r="C54" s="169"/>
      <c r="D54" s="169"/>
      <c r="E54" s="169"/>
      <c r="F54" s="169"/>
      <c r="G54" s="169"/>
      <c r="H54" s="311"/>
    </row>
    <row r="55" spans="1:8" ht="18" customHeight="1" x14ac:dyDescent="0.2">
      <c r="A55" s="168"/>
      <c r="B55" s="169"/>
      <c r="C55" s="169"/>
      <c r="D55" s="169"/>
      <c r="E55" s="169"/>
      <c r="F55" s="169"/>
      <c r="G55" s="169"/>
      <c r="H55" s="311"/>
    </row>
    <row r="56" spans="1:8" ht="30" customHeight="1" x14ac:dyDescent="0.2">
      <c r="A56" s="313"/>
      <c r="B56" s="169"/>
      <c r="C56" s="169"/>
      <c r="D56" s="169"/>
      <c r="E56" s="169"/>
      <c r="F56" s="169"/>
      <c r="G56" s="169"/>
      <c r="H56" s="311"/>
    </row>
    <row r="57" spans="1:8" ht="18" customHeight="1" x14ac:dyDescent="0.2">
      <c r="A57" s="313"/>
      <c r="B57" s="169"/>
      <c r="C57" s="169"/>
      <c r="D57" s="169"/>
      <c r="E57" s="169"/>
      <c r="F57" s="169"/>
      <c r="G57" s="169"/>
      <c r="H57" s="311"/>
    </row>
    <row r="58" spans="1:8" ht="21" customHeight="1" x14ac:dyDescent="0.2">
      <c r="A58" s="316"/>
      <c r="B58" s="169"/>
      <c r="C58" s="169"/>
      <c r="D58" s="169"/>
      <c r="E58" s="169"/>
      <c r="F58" s="169"/>
      <c r="G58" s="169"/>
      <c r="H58" s="311"/>
    </row>
    <row r="59" spans="1:8" ht="18" customHeight="1" x14ac:dyDescent="0.2">
      <c r="A59" s="317"/>
      <c r="B59" s="169"/>
      <c r="C59" s="169"/>
      <c r="D59" s="169"/>
      <c r="E59" s="169"/>
      <c r="F59" s="169"/>
      <c r="G59" s="169"/>
      <c r="H59" s="311"/>
    </row>
    <row r="60" spans="1:8" ht="15" x14ac:dyDescent="0.2">
      <c r="A60" s="318"/>
      <c r="B60" s="169"/>
      <c r="C60" s="169"/>
      <c r="D60" s="169"/>
      <c r="E60" s="169"/>
      <c r="F60" s="169"/>
      <c r="G60" s="169"/>
      <c r="H60" s="311"/>
    </row>
    <row r="61" spans="1:8" ht="15.75" customHeight="1" x14ac:dyDescent="0.2">
      <c r="A61" s="317"/>
      <c r="B61" s="169"/>
      <c r="C61" s="169"/>
      <c r="D61" s="169"/>
      <c r="E61" s="169"/>
      <c r="F61" s="169"/>
      <c r="G61" s="169"/>
      <c r="H61" s="311"/>
    </row>
    <row r="62" spans="1:8" ht="16.5" customHeight="1" x14ac:dyDescent="0.2">
      <c r="A62" s="317"/>
      <c r="B62" s="169"/>
      <c r="C62" s="169"/>
      <c r="D62" s="169"/>
      <c r="E62" s="169"/>
      <c r="F62" s="169"/>
      <c r="G62" s="169"/>
      <c r="H62" s="311"/>
    </row>
    <row r="63" spans="1:8" ht="18" customHeight="1" x14ac:dyDescent="0.2">
      <c r="A63" s="319"/>
      <c r="B63" s="169"/>
      <c r="C63" s="169"/>
      <c r="D63" s="169"/>
      <c r="E63" s="169"/>
      <c r="F63" s="169"/>
      <c r="G63" s="169"/>
      <c r="H63" s="311"/>
    </row>
    <row r="64" spans="1:8" ht="33" customHeight="1" x14ac:dyDescent="0.2">
      <c r="A64" s="317"/>
      <c r="B64" s="169"/>
      <c r="C64" s="169"/>
      <c r="D64" s="169"/>
      <c r="E64" s="169"/>
      <c r="F64" s="169"/>
      <c r="G64" s="169"/>
      <c r="H64" s="311"/>
    </row>
    <row r="65" spans="1:8" ht="15.75" customHeight="1" x14ac:dyDescent="0.2">
      <c r="A65" s="317"/>
      <c r="B65" s="169"/>
      <c r="C65" s="169"/>
      <c r="D65" s="169"/>
      <c r="E65" s="169"/>
      <c r="F65" s="169"/>
      <c r="G65" s="169"/>
      <c r="H65" s="311"/>
    </row>
    <row r="66" spans="1:8" ht="15.75" customHeight="1" x14ac:dyDescent="0.2">
      <c r="A66" s="317"/>
      <c r="B66" s="169"/>
      <c r="C66" s="169"/>
      <c r="D66" s="169"/>
      <c r="E66" s="169"/>
      <c r="F66" s="169"/>
      <c r="G66" s="169"/>
      <c r="H66" s="311"/>
    </row>
    <row r="67" spans="1:8" ht="15.75" customHeight="1" x14ac:dyDescent="0.2">
      <c r="A67" s="317"/>
      <c r="B67" s="169"/>
      <c r="C67" s="169"/>
      <c r="D67" s="169"/>
      <c r="E67" s="169"/>
      <c r="F67" s="169"/>
      <c r="G67" s="169"/>
      <c r="H67" s="311"/>
    </row>
    <row r="68" spans="1:8" ht="15.75" customHeight="1" x14ac:dyDescent="0.2">
      <c r="A68" s="317"/>
      <c r="B68" s="169"/>
      <c r="C68" s="169"/>
      <c r="D68" s="169"/>
      <c r="E68" s="169"/>
      <c r="F68" s="169"/>
      <c r="G68" s="169"/>
      <c r="H68" s="311"/>
    </row>
    <row r="69" spans="1:8" ht="15.75" customHeight="1" x14ac:dyDescent="0.2">
      <c r="A69" s="317"/>
      <c r="B69" s="169"/>
      <c r="C69" s="169"/>
      <c r="D69" s="169"/>
      <c r="E69" s="169"/>
      <c r="F69" s="169"/>
      <c r="G69" s="169"/>
      <c r="H69" s="311"/>
    </row>
    <row r="70" spans="1:8" ht="15.75" customHeight="1" x14ac:dyDescent="0.2">
      <c r="A70" s="317"/>
      <c r="B70" s="169"/>
      <c r="C70" s="169"/>
      <c r="D70" s="169"/>
      <c r="E70" s="169"/>
      <c r="F70" s="169"/>
      <c r="G70" s="169"/>
      <c r="H70" s="311"/>
    </row>
    <row r="71" spans="1:8" ht="15.75" customHeight="1" x14ac:dyDescent="0.2">
      <c r="A71" s="317"/>
      <c r="B71" s="169"/>
      <c r="C71" s="169"/>
      <c r="D71" s="169"/>
      <c r="E71" s="169"/>
      <c r="F71" s="169"/>
      <c r="G71" s="169"/>
      <c r="H71" s="311"/>
    </row>
    <row r="72" spans="1:8" ht="15.75" customHeight="1" x14ac:dyDescent="0.2">
      <c r="A72" s="317"/>
      <c r="B72" s="169"/>
      <c r="C72" s="169"/>
      <c r="D72" s="169"/>
      <c r="E72" s="169"/>
      <c r="F72" s="169"/>
      <c r="G72" s="169"/>
      <c r="H72" s="311"/>
    </row>
    <row r="73" spans="1:8" ht="15.75" customHeight="1" x14ac:dyDescent="0.2">
      <c r="A73" s="318"/>
      <c r="B73" s="169"/>
      <c r="C73" s="169"/>
      <c r="D73" s="169"/>
      <c r="E73" s="169"/>
      <c r="F73" s="169"/>
      <c r="G73" s="169"/>
      <c r="H73" s="311"/>
    </row>
    <row r="74" spans="1:8" ht="15.75" customHeight="1" x14ac:dyDescent="0.2">
      <c r="A74" s="317"/>
      <c r="B74" s="169"/>
      <c r="C74" s="169"/>
      <c r="D74" s="169"/>
      <c r="E74" s="169"/>
      <c r="F74" s="169"/>
      <c r="G74" s="169"/>
      <c r="H74" s="311"/>
    </row>
    <row r="75" spans="1:8" ht="15.75" customHeight="1" x14ac:dyDescent="0.2">
      <c r="A75" s="317"/>
      <c r="B75" s="169"/>
      <c r="C75" s="169"/>
      <c r="D75" s="169"/>
      <c r="E75" s="169"/>
      <c r="F75" s="169"/>
      <c r="G75" s="169"/>
      <c r="H75" s="311"/>
    </row>
    <row r="76" spans="1:8" ht="15.75" customHeight="1" x14ac:dyDescent="0.2">
      <c r="A76" s="317"/>
      <c r="B76" s="169"/>
      <c r="C76" s="169"/>
      <c r="D76" s="169"/>
      <c r="E76" s="169"/>
      <c r="F76" s="169"/>
      <c r="G76" s="169"/>
      <c r="H76" s="311"/>
    </row>
    <row r="77" spans="1:8" ht="15.75" customHeight="1" x14ac:dyDescent="0.2">
      <c r="A77" s="317"/>
      <c r="B77" s="169"/>
      <c r="C77" s="169"/>
      <c r="D77" s="169"/>
      <c r="E77" s="169"/>
      <c r="F77" s="169"/>
      <c r="G77" s="169"/>
      <c r="H77" s="311"/>
    </row>
    <row r="78" spans="1:8" ht="15.75" customHeight="1" x14ac:dyDescent="0.2">
      <c r="A78" s="318"/>
      <c r="B78" s="169"/>
      <c r="C78" s="169"/>
      <c r="D78" s="169"/>
      <c r="E78" s="169"/>
      <c r="F78" s="169"/>
      <c r="G78" s="169"/>
      <c r="H78" s="311"/>
    </row>
    <row r="79" spans="1:8" ht="15.75" customHeight="1" x14ac:dyDescent="0.2">
      <c r="A79" s="320"/>
      <c r="B79" s="169"/>
      <c r="C79" s="169"/>
      <c r="D79" s="169"/>
      <c r="E79" s="169"/>
      <c r="F79" s="169"/>
      <c r="G79" s="169"/>
      <c r="H79" s="311"/>
    </row>
    <row r="80" spans="1:8" ht="15.75" customHeight="1" x14ac:dyDescent="0.2">
      <c r="A80" s="320"/>
      <c r="B80" s="169"/>
      <c r="C80" s="169"/>
      <c r="D80" s="169"/>
      <c r="E80" s="169"/>
      <c r="F80" s="169"/>
      <c r="G80" s="169"/>
      <c r="H80" s="311"/>
    </row>
    <row r="81" spans="1:8" ht="15.75" customHeight="1" x14ac:dyDescent="0.2">
      <c r="A81" s="320"/>
      <c r="B81" s="169"/>
      <c r="C81" s="169"/>
      <c r="D81" s="169"/>
      <c r="E81" s="169"/>
      <c r="F81" s="169"/>
      <c r="G81" s="169"/>
      <c r="H81" s="311"/>
    </row>
    <row r="82" spans="1:8" ht="15.75" customHeight="1" x14ac:dyDescent="0.2">
      <c r="A82" s="320"/>
      <c r="B82" s="169"/>
      <c r="C82" s="169"/>
      <c r="D82" s="169"/>
      <c r="E82" s="169"/>
      <c r="F82" s="169"/>
      <c r="G82" s="169"/>
      <c r="H82" s="311"/>
    </row>
    <row r="83" spans="1:8" ht="15.75" customHeight="1" x14ac:dyDescent="0.2">
      <c r="A83" s="320"/>
      <c r="B83" s="169"/>
      <c r="C83" s="169"/>
      <c r="D83" s="169"/>
      <c r="E83" s="169"/>
      <c r="F83" s="169"/>
      <c r="G83" s="169"/>
      <c r="H83" s="311"/>
    </row>
    <row r="84" spans="1:8" ht="15.75" customHeight="1" x14ac:dyDescent="0.2">
      <c r="A84" s="320"/>
      <c r="B84" s="169"/>
      <c r="C84" s="169"/>
      <c r="D84" s="169"/>
      <c r="E84" s="169"/>
      <c r="F84" s="169"/>
      <c r="G84" s="169"/>
      <c r="H84" s="311"/>
    </row>
    <row r="85" spans="1:8" ht="15.75" customHeight="1" x14ac:dyDescent="0.2">
      <c r="A85" s="320"/>
      <c r="B85" s="169"/>
      <c r="C85" s="169"/>
      <c r="D85" s="169"/>
      <c r="E85" s="169"/>
      <c r="F85" s="169"/>
      <c r="G85" s="169"/>
      <c r="H85" s="311"/>
    </row>
    <row r="86" spans="1:8" ht="15.75" customHeight="1" x14ac:dyDescent="0.2">
      <c r="A86" s="320"/>
      <c r="B86" s="169"/>
      <c r="C86" s="169"/>
      <c r="D86" s="169"/>
      <c r="E86" s="169"/>
      <c r="F86" s="169"/>
      <c r="G86" s="169"/>
      <c r="H86" s="311"/>
    </row>
    <row r="87" spans="1:8" ht="15.75" customHeight="1" x14ac:dyDescent="0.2">
      <c r="A87" s="320"/>
      <c r="B87" s="169"/>
      <c r="C87" s="169"/>
      <c r="D87" s="169"/>
      <c r="E87" s="169"/>
      <c r="F87" s="169"/>
      <c r="G87" s="169"/>
      <c r="H87" s="311"/>
    </row>
    <row r="88" spans="1:8" s="255" customFormat="1" ht="20.25" customHeight="1" x14ac:dyDescent="0.25">
      <c r="A88" s="321"/>
      <c r="B88" s="322"/>
      <c r="C88" s="322"/>
      <c r="D88" s="322"/>
      <c r="E88" s="322"/>
      <c r="F88" s="322"/>
      <c r="G88" s="322"/>
      <c r="H88" s="322"/>
    </row>
    <row r="89" spans="1:8" ht="20.25" customHeight="1" x14ac:dyDescent="0.2">
      <c r="A89" s="90"/>
    </row>
  </sheetData>
  <sheetProtection selectLockedCells="1" selectUnlockedCells="1"/>
  <phoneticPr fontId="27" type="noConversion"/>
  <printOptions horizontalCentered="1"/>
  <pageMargins left="0.2361111111111111" right="0.2361111111111111" top="0.70833333333333326" bottom="0.39374999999999999" header="0.2361111111111111" footer="0.51180555555555551"/>
  <pageSetup paperSize="9" scale="78" firstPageNumber="0" orientation="portrait" r:id="rId1"/>
  <headerFooter alignWithMargins="0">
    <oddHeader>&amp;LPécsely Község Önkormányzata&amp;C&amp;"Arial,Félkövér"&amp;12TÁMOGATÁSOK 2016. ÉV
4. melléklet a .../2017. (.....) rendelethez&amp;Rezer forint&amp;P. oldal</oddHeader>
  </headerFooter>
  <rowBreaks count="2" manualBreakCount="2">
    <brk id="47" max="4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174"/>
  <sheetViews>
    <sheetView view="pageLayout" topLeftCell="A16" zoomScaleNormal="75" zoomScaleSheetLayoutView="150" workbookViewId="0">
      <selection activeCell="F5" sqref="F5:G5"/>
    </sheetView>
  </sheetViews>
  <sheetFormatPr defaultRowHeight="12.75" x14ac:dyDescent="0.2"/>
  <cols>
    <col min="1" max="1" width="29.7109375" style="60" customWidth="1"/>
    <col min="2" max="2" width="10.7109375" style="60" bestFit="1" customWidth="1"/>
    <col min="3" max="6" width="10.5703125" style="60" bestFit="1" customWidth="1"/>
    <col min="7" max="7" width="10.5703125" style="60" customWidth="1"/>
    <col min="8" max="8" width="8.140625" style="60" bestFit="1" customWidth="1"/>
    <col min="9" max="10" width="9.140625" style="60"/>
    <col min="11" max="11" width="13" style="60" customWidth="1"/>
    <col min="12" max="12" width="13.85546875" style="60" customWidth="1"/>
    <col min="13" max="13" width="11.42578125" style="60" customWidth="1"/>
    <col min="14" max="14" width="12" style="60" customWidth="1"/>
    <col min="15" max="15" width="12.5703125" style="60" customWidth="1"/>
    <col min="16" max="16" width="13.140625" style="60" customWidth="1"/>
    <col min="17" max="16384" width="9.140625" style="60"/>
  </cols>
  <sheetData>
    <row r="1" spans="1:10" ht="15" customHeight="1" x14ac:dyDescent="0.25">
      <c r="A1" s="498"/>
      <c r="B1" s="498"/>
      <c r="C1" s="5"/>
      <c r="D1" s="5"/>
      <c r="E1" s="5"/>
      <c r="F1" s="5"/>
      <c r="G1" s="5"/>
      <c r="H1" s="5"/>
    </row>
    <row r="2" spans="1:10" ht="15" thickBot="1" x14ac:dyDescent="0.25">
      <c r="A2" s="262"/>
      <c r="B2" s="5"/>
      <c r="C2" s="5"/>
      <c r="D2" s="5"/>
      <c r="E2" s="5"/>
      <c r="F2" s="5"/>
      <c r="G2" s="5"/>
      <c r="H2" s="5"/>
    </row>
    <row r="3" spans="1:10" ht="48" customHeight="1" thickBot="1" x14ac:dyDescent="0.25">
      <c r="A3" s="196" t="s">
        <v>241</v>
      </c>
      <c r="B3" s="193" t="s">
        <v>391</v>
      </c>
      <c r="C3" s="194" t="s">
        <v>392</v>
      </c>
      <c r="D3" s="452" t="s">
        <v>409</v>
      </c>
      <c r="E3" s="452" t="s">
        <v>416</v>
      </c>
      <c r="F3" s="452" t="s">
        <v>420</v>
      </c>
      <c r="G3" s="452" t="s">
        <v>424</v>
      </c>
      <c r="H3" s="193" t="s">
        <v>393</v>
      </c>
    </row>
    <row r="4" spans="1:10" ht="15" x14ac:dyDescent="0.25">
      <c r="A4" s="403" t="s">
        <v>375</v>
      </c>
      <c r="B4" s="404"/>
      <c r="C4" s="454"/>
      <c r="D4" s="404"/>
      <c r="E4" s="483"/>
      <c r="F4" s="483"/>
      <c r="G4" s="483"/>
      <c r="H4" s="416"/>
    </row>
    <row r="5" spans="1:10" ht="28.5" x14ac:dyDescent="0.2">
      <c r="A5" s="409" t="s">
        <v>386</v>
      </c>
      <c r="B5" s="423">
        <v>1600</v>
      </c>
      <c r="C5" s="455">
        <f>1600+377</f>
        <v>1977</v>
      </c>
      <c r="D5" s="455">
        <f>1600+377</f>
        <v>1977</v>
      </c>
      <c r="E5" s="455">
        <v>1977</v>
      </c>
      <c r="F5" s="455">
        <v>1977</v>
      </c>
      <c r="G5" s="455">
        <v>1977</v>
      </c>
      <c r="H5" s="337">
        <f>G5-F5</f>
        <v>0</v>
      </c>
    </row>
    <row r="6" spans="1:10" ht="15" x14ac:dyDescent="0.2">
      <c r="A6" s="409" t="s">
        <v>387</v>
      </c>
      <c r="B6" s="423">
        <v>100</v>
      </c>
      <c r="C6" s="455">
        <v>100</v>
      </c>
      <c r="D6" s="455">
        <v>100</v>
      </c>
      <c r="E6" s="455">
        <v>100</v>
      </c>
      <c r="F6" s="455">
        <v>100</v>
      </c>
      <c r="G6" s="455">
        <v>100</v>
      </c>
      <c r="H6" s="337">
        <f t="shared" ref="H6:H55" si="0">G6-F6</f>
        <v>0</v>
      </c>
    </row>
    <row r="7" spans="1:10" ht="15" x14ac:dyDescent="0.2">
      <c r="A7" s="409" t="s">
        <v>390</v>
      </c>
      <c r="B7" s="423">
        <v>2500</v>
      </c>
      <c r="C7" s="455">
        <v>2500</v>
      </c>
      <c r="D7" s="455">
        <v>2500</v>
      </c>
      <c r="E7" s="455">
        <v>2500</v>
      </c>
      <c r="F7" s="455">
        <v>2500</v>
      </c>
      <c r="G7" s="455">
        <v>2500</v>
      </c>
      <c r="H7" s="337">
        <f t="shared" si="0"/>
        <v>0</v>
      </c>
    </row>
    <row r="8" spans="1:10" ht="15" x14ac:dyDescent="0.2">
      <c r="A8" s="405" t="s">
        <v>376</v>
      </c>
      <c r="B8" s="406"/>
      <c r="C8" s="456"/>
      <c r="D8" s="406"/>
      <c r="E8" s="406"/>
      <c r="F8" s="406"/>
      <c r="G8" s="406"/>
      <c r="H8" s="337">
        <f t="shared" si="0"/>
        <v>0</v>
      </c>
    </row>
    <row r="9" spans="1:10" ht="28.5" x14ac:dyDescent="0.2">
      <c r="A9" s="408" t="s">
        <v>397</v>
      </c>
      <c r="B9" s="406"/>
      <c r="C9" s="456">
        <v>48</v>
      </c>
      <c r="D9" s="456">
        <v>48</v>
      </c>
      <c r="E9" s="456">
        <v>48</v>
      </c>
      <c r="F9" s="456">
        <v>48</v>
      </c>
      <c r="G9" s="456">
        <v>48</v>
      </c>
      <c r="H9" s="337">
        <f t="shared" si="0"/>
        <v>0</v>
      </c>
    </row>
    <row r="10" spans="1:10" ht="28.5" x14ac:dyDescent="0.2">
      <c r="A10" s="405" t="s">
        <v>394</v>
      </c>
      <c r="B10" s="406"/>
      <c r="C10" s="456">
        <v>95</v>
      </c>
      <c r="D10" s="456">
        <v>95</v>
      </c>
      <c r="E10" s="456">
        <v>95</v>
      </c>
      <c r="F10" s="456">
        <v>95</v>
      </c>
      <c r="G10" s="456">
        <v>95</v>
      </c>
      <c r="H10" s="337">
        <f t="shared" si="0"/>
        <v>0</v>
      </c>
    </row>
    <row r="11" spans="1:10" ht="28.5" x14ac:dyDescent="0.2">
      <c r="A11" s="405" t="s">
        <v>395</v>
      </c>
      <c r="B11" s="406"/>
      <c r="C11" s="456">
        <v>25</v>
      </c>
      <c r="D11" s="456">
        <v>25</v>
      </c>
      <c r="E11" s="456">
        <v>25</v>
      </c>
      <c r="F11" s="456">
        <v>25</v>
      </c>
      <c r="G11" s="456">
        <v>25</v>
      </c>
      <c r="H11" s="337">
        <f t="shared" si="0"/>
        <v>0</v>
      </c>
    </row>
    <row r="12" spans="1:10" ht="15" x14ac:dyDescent="0.2">
      <c r="A12" s="405" t="s">
        <v>396</v>
      </c>
      <c r="B12" s="407"/>
      <c r="C12" s="456">
        <v>70</v>
      </c>
      <c r="D12" s="456">
        <v>70</v>
      </c>
      <c r="E12" s="456">
        <v>70</v>
      </c>
      <c r="F12" s="456">
        <v>70</v>
      </c>
      <c r="G12" s="456">
        <v>70</v>
      </c>
      <c r="H12" s="337">
        <f t="shared" si="0"/>
        <v>0</v>
      </c>
    </row>
    <row r="13" spans="1:10" s="1" customFormat="1" ht="15" x14ac:dyDescent="0.2">
      <c r="A13" s="405" t="s">
        <v>398</v>
      </c>
      <c r="B13" s="406"/>
      <c r="C13" s="456">
        <v>65</v>
      </c>
      <c r="D13" s="456">
        <v>65</v>
      </c>
      <c r="E13" s="456">
        <v>65</v>
      </c>
      <c r="F13" s="456">
        <v>65</v>
      </c>
      <c r="G13" s="456">
        <v>65</v>
      </c>
      <c r="H13" s="337">
        <f t="shared" si="0"/>
        <v>0</v>
      </c>
    </row>
    <row r="14" spans="1:10" ht="15" x14ac:dyDescent="0.2">
      <c r="A14" s="408" t="s">
        <v>399</v>
      </c>
      <c r="B14" s="406"/>
      <c r="C14" s="456">
        <v>60</v>
      </c>
      <c r="D14" s="456">
        <v>60</v>
      </c>
      <c r="E14" s="456">
        <v>60</v>
      </c>
      <c r="F14" s="456">
        <v>60</v>
      </c>
      <c r="G14" s="456">
        <v>60</v>
      </c>
      <c r="H14" s="337">
        <f t="shared" si="0"/>
        <v>0</v>
      </c>
    </row>
    <row r="15" spans="1:10" ht="38.25" x14ac:dyDescent="0.2">
      <c r="A15" s="429" t="s">
        <v>402</v>
      </c>
      <c r="B15" s="406"/>
      <c r="C15" s="456">
        <v>104</v>
      </c>
      <c r="D15" s="456">
        <v>104</v>
      </c>
      <c r="E15" s="456">
        <v>104</v>
      </c>
      <c r="F15" s="456">
        <v>104</v>
      </c>
      <c r="G15" s="456">
        <v>104</v>
      </c>
      <c r="H15" s="337">
        <f t="shared" si="0"/>
        <v>0</v>
      </c>
      <c r="J15" s="263"/>
    </row>
    <row r="16" spans="1:10" ht="25.5" x14ac:dyDescent="0.2">
      <c r="A16" s="429" t="s">
        <v>405</v>
      </c>
      <c r="B16" s="406"/>
      <c r="C16" s="456">
        <v>10</v>
      </c>
      <c r="D16" s="456">
        <v>10</v>
      </c>
      <c r="E16" s="456">
        <v>10</v>
      </c>
      <c r="F16" s="456">
        <v>10</v>
      </c>
      <c r="G16" s="456">
        <v>10</v>
      </c>
      <c r="H16" s="337">
        <f t="shared" si="0"/>
        <v>0</v>
      </c>
      <c r="J16" s="263"/>
    </row>
    <row r="17" spans="1:10" ht="15" x14ac:dyDescent="0.2">
      <c r="A17" s="429" t="s">
        <v>406</v>
      </c>
      <c r="B17" s="406"/>
      <c r="C17" s="456">
        <v>200</v>
      </c>
      <c r="D17" s="456">
        <v>200</v>
      </c>
      <c r="E17" s="456">
        <v>200</v>
      </c>
      <c r="F17" s="456">
        <v>200</v>
      </c>
      <c r="G17" s="456">
        <v>200</v>
      </c>
      <c r="H17" s="337">
        <f t="shared" si="0"/>
        <v>0</v>
      </c>
      <c r="J17" s="263"/>
    </row>
    <row r="18" spans="1:10" ht="15" x14ac:dyDescent="0.2">
      <c r="A18" s="425"/>
      <c r="B18" s="406"/>
      <c r="C18" s="456"/>
      <c r="D18" s="406"/>
      <c r="E18" s="406"/>
      <c r="F18" s="406"/>
      <c r="G18" s="406"/>
      <c r="H18" s="337">
        <f t="shared" si="0"/>
        <v>0</v>
      </c>
      <c r="J18" s="263"/>
    </row>
    <row r="19" spans="1:10" ht="15" x14ac:dyDescent="0.25">
      <c r="A19" s="403" t="s">
        <v>377</v>
      </c>
      <c r="B19" s="404">
        <f>SUM(B5:B18)</f>
        <v>4200</v>
      </c>
      <c r="C19" s="454">
        <f>SUM(C5:C18)</f>
        <v>5254</v>
      </c>
      <c r="D19" s="454">
        <f>SUM(D5:D18)</f>
        <v>5254</v>
      </c>
      <c r="E19" s="454">
        <f>SUM(E5:E18)</f>
        <v>5254</v>
      </c>
      <c r="F19" s="454">
        <f>SUM(F5:F18)</f>
        <v>5254</v>
      </c>
      <c r="G19" s="454">
        <f>SUM(G5:G18)</f>
        <v>5254</v>
      </c>
      <c r="H19" s="337">
        <f t="shared" si="0"/>
        <v>0</v>
      </c>
    </row>
    <row r="20" spans="1:10" ht="15" x14ac:dyDescent="0.25">
      <c r="A20" s="403"/>
      <c r="B20" s="404"/>
      <c r="C20" s="454"/>
      <c r="D20" s="404"/>
      <c r="E20" s="404"/>
      <c r="F20" s="404"/>
      <c r="G20" s="404"/>
      <c r="H20" s="337">
        <f t="shared" si="0"/>
        <v>0</v>
      </c>
    </row>
    <row r="21" spans="1:10" ht="15" x14ac:dyDescent="0.25">
      <c r="A21" s="403" t="s">
        <v>378</v>
      </c>
      <c r="B21" s="406"/>
      <c r="C21" s="456"/>
      <c r="D21" s="406"/>
      <c r="E21" s="406"/>
      <c r="F21" s="406"/>
      <c r="G21" s="406"/>
      <c r="H21" s="337">
        <f t="shared" si="0"/>
        <v>0</v>
      </c>
    </row>
    <row r="22" spans="1:10" ht="15" x14ac:dyDescent="0.2">
      <c r="A22" s="409" t="s">
        <v>322</v>
      </c>
      <c r="B22" s="406">
        <v>3191</v>
      </c>
      <c r="C22" s="456">
        <v>3191</v>
      </c>
      <c r="D22" s="456">
        <v>3191</v>
      </c>
      <c r="E22" s="456">
        <v>3191</v>
      </c>
      <c r="F22" s="456">
        <v>3191</v>
      </c>
      <c r="G22" s="456">
        <v>3191</v>
      </c>
      <c r="H22" s="337">
        <f t="shared" si="0"/>
        <v>0</v>
      </c>
    </row>
    <row r="23" spans="1:10" ht="15" x14ac:dyDescent="0.2">
      <c r="A23" s="409" t="s">
        <v>380</v>
      </c>
      <c r="B23" s="406">
        <v>1000</v>
      </c>
      <c r="C23" s="456">
        <v>1000</v>
      </c>
      <c r="D23" s="456">
        <v>1000</v>
      </c>
      <c r="E23" s="456">
        <v>1000</v>
      </c>
      <c r="F23" s="456">
        <v>1000</v>
      </c>
      <c r="G23" s="456">
        <v>1000</v>
      </c>
      <c r="H23" s="337">
        <f t="shared" si="0"/>
        <v>0</v>
      </c>
    </row>
    <row r="24" spans="1:10" ht="15" x14ac:dyDescent="0.2">
      <c r="A24" s="409" t="s">
        <v>381</v>
      </c>
      <c r="B24" s="406">
        <v>2800</v>
      </c>
      <c r="C24" s="456">
        <v>2800</v>
      </c>
      <c r="D24" s="456">
        <v>2800</v>
      </c>
      <c r="E24" s="456">
        <v>2800</v>
      </c>
      <c r="F24" s="456">
        <v>2800</v>
      </c>
      <c r="G24" s="456">
        <v>2800</v>
      </c>
      <c r="H24" s="337">
        <f t="shared" si="0"/>
        <v>0</v>
      </c>
    </row>
    <row r="25" spans="1:10" ht="15" x14ac:dyDescent="0.2">
      <c r="A25" s="409" t="s">
        <v>384</v>
      </c>
      <c r="B25" s="406">
        <v>289</v>
      </c>
      <c r="C25" s="456">
        <v>289</v>
      </c>
      <c r="D25" s="456">
        <v>289</v>
      </c>
      <c r="E25" s="456">
        <v>289</v>
      </c>
      <c r="F25" s="456">
        <v>289</v>
      </c>
      <c r="G25" s="456">
        <v>289</v>
      </c>
      <c r="H25" s="337">
        <f t="shared" si="0"/>
        <v>0</v>
      </c>
    </row>
    <row r="26" spans="1:10" ht="15" x14ac:dyDescent="0.2">
      <c r="A26" s="417" t="s">
        <v>388</v>
      </c>
      <c r="B26" s="406">
        <v>3000</v>
      </c>
      <c r="C26" s="456">
        <v>3000</v>
      </c>
      <c r="D26" s="456">
        <v>3000</v>
      </c>
      <c r="E26" s="456">
        <v>3000</v>
      </c>
      <c r="F26" s="456">
        <v>3000</v>
      </c>
      <c r="G26" s="456">
        <v>3000</v>
      </c>
      <c r="H26" s="337">
        <f t="shared" si="0"/>
        <v>0</v>
      </c>
    </row>
    <row r="27" spans="1:10" s="1" customFormat="1" ht="26.25" thickBot="1" x14ac:dyDescent="0.25">
      <c r="A27" s="414" t="s">
        <v>379</v>
      </c>
      <c r="B27" s="406">
        <v>1001</v>
      </c>
      <c r="C27" s="457">
        <v>1001</v>
      </c>
      <c r="D27" s="457">
        <v>1001</v>
      </c>
      <c r="E27" s="457">
        <v>1001</v>
      </c>
      <c r="F27" s="457">
        <v>1001</v>
      </c>
      <c r="G27" s="457">
        <v>1001</v>
      </c>
      <c r="H27" s="337">
        <f t="shared" si="0"/>
        <v>0</v>
      </c>
    </row>
    <row r="28" spans="1:10" s="1" customFormat="1" ht="15" x14ac:dyDescent="0.2">
      <c r="A28" s="415" t="s">
        <v>385</v>
      </c>
      <c r="B28" s="406">
        <v>1000</v>
      </c>
      <c r="C28" s="457">
        <v>1000</v>
      </c>
      <c r="D28" s="457">
        <v>1000</v>
      </c>
      <c r="E28" s="457">
        <v>1000</v>
      </c>
      <c r="F28" s="457">
        <v>1000</v>
      </c>
      <c r="G28" s="457">
        <v>1000</v>
      </c>
      <c r="H28" s="337">
        <f t="shared" si="0"/>
        <v>0</v>
      </c>
    </row>
    <row r="29" spans="1:10" ht="42.75" x14ac:dyDescent="0.2">
      <c r="A29" s="409" t="s">
        <v>411</v>
      </c>
      <c r="B29" s="406"/>
      <c r="C29" s="456">
        <v>2250</v>
      </c>
      <c r="D29" s="456">
        <v>2250</v>
      </c>
      <c r="E29" s="456">
        <v>2250</v>
      </c>
      <c r="F29" s="456">
        <v>2250</v>
      </c>
      <c r="G29" s="456">
        <v>2250</v>
      </c>
      <c r="H29" s="337">
        <f t="shared" si="0"/>
        <v>0</v>
      </c>
    </row>
    <row r="30" spans="1:10" ht="28.5" x14ac:dyDescent="0.2">
      <c r="A30" s="409" t="s">
        <v>412</v>
      </c>
      <c r="B30" s="406"/>
      <c r="C30" s="456"/>
      <c r="D30" s="406">
        <v>12750</v>
      </c>
      <c r="E30" s="406">
        <v>12750</v>
      </c>
      <c r="F30" s="406">
        <v>12750</v>
      </c>
      <c r="G30" s="406">
        <v>12750</v>
      </c>
      <c r="H30" s="337">
        <f t="shared" si="0"/>
        <v>0</v>
      </c>
    </row>
    <row r="31" spans="1:10" ht="14.25" customHeight="1" x14ac:dyDescent="0.2">
      <c r="A31" s="409" t="s">
        <v>408</v>
      </c>
      <c r="B31" s="406"/>
      <c r="C31" s="456">
        <v>254</v>
      </c>
      <c r="D31" s="406">
        <v>0</v>
      </c>
      <c r="E31" s="406">
        <v>0</v>
      </c>
      <c r="F31" s="406">
        <v>0</v>
      </c>
      <c r="G31" s="406">
        <v>0</v>
      </c>
      <c r="H31" s="337">
        <f t="shared" si="0"/>
        <v>0</v>
      </c>
    </row>
    <row r="32" spans="1:10" ht="42.75" x14ac:dyDescent="0.2">
      <c r="A32" s="409" t="s">
        <v>400</v>
      </c>
      <c r="B32" s="406"/>
      <c r="C32" s="456">
        <v>200</v>
      </c>
      <c r="D32" s="456">
        <v>200</v>
      </c>
      <c r="E32" s="456">
        <v>200</v>
      </c>
      <c r="F32" s="456">
        <v>200</v>
      </c>
      <c r="G32" s="456">
        <v>200</v>
      </c>
      <c r="H32" s="337">
        <f t="shared" si="0"/>
        <v>0</v>
      </c>
    </row>
    <row r="33" spans="1:8" ht="26.25" thickBot="1" x14ac:dyDescent="0.25">
      <c r="A33" s="424" t="s">
        <v>401</v>
      </c>
      <c r="B33" s="406"/>
      <c r="C33" s="457">
        <v>200</v>
      </c>
      <c r="D33" s="457">
        <v>200</v>
      </c>
      <c r="E33" s="457">
        <v>200</v>
      </c>
      <c r="F33" s="457">
        <v>200</v>
      </c>
      <c r="G33" s="457">
        <v>200</v>
      </c>
      <c r="H33" s="337">
        <f t="shared" si="0"/>
        <v>0</v>
      </c>
    </row>
    <row r="34" spans="1:8" ht="26.25" thickBot="1" x14ac:dyDescent="0.25">
      <c r="A34" s="424" t="s">
        <v>413</v>
      </c>
      <c r="B34" s="406"/>
      <c r="C34" s="457"/>
      <c r="D34" s="411">
        <v>1155</v>
      </c>
      <c r="E34" s="411">
        <v>1155</v>
      </c>
      <c r="F34" s="411">
        <v>1155</v>
      </c>
      <c r="G34" s="411">
        <v>1155</v>
      </c>
      <c r="H34" s="337">
        <f t="shared" si="0"/>
        <v>0</v>
      </c>
    </row>
    <row r="35" spans="1:8" ht="25.5" x14ac:dyDescent="0.2">
      <c r="A35" s="482" t="s">
        <v>415</v>
      </c>
      <c r="B35" s="406"/>
      <c r="C35" s="457"/>
      <c r="D35" s="411">
        <v>1415</v>
      </c>
      <c r="E35" s="411">
        <v>1415</v>
      </c>
      <c r="F35" s="411">
        <v>1415</v>
      </c>
      <c r="G35" s="411">
        <v>1415</v>
      </c>
      <c r="H35" s="337">
        <f t="shared" si="0"/>
        <v>0</v>
      </c>
    </row>
    <row r="36" spans="1:8" ht="28.5" x14ac:dyDescent="0.2">
      <c r="A36" s="409" t="s">
        <v>418</v>
      </c>
      <c r="B36" s="406"/>
      <c r="C36" s="456"/>
      <c r="D36" s="406"/>
      <c r="E36" s="406">
        <v>748</v>
      </c>
      <c r="F36" s="406">
        <v>748</v>
      </c>
      <c r="G36" s="406">
        <v>748</v>
      </c>
      <c r="H36" s="337">
        <f t="shared" si="0"/>
        <v>0</v>
      </c>
    </row>
    <row r="37" spans="1:8" ht="15" x14ac:dyDescent="0.2">
      <c r="A37" s="409" t="s">
        <v>419</v>
      </c>
      <c r="B37" s="406"/>
      <c r="C37" s="456"/>
      <c r="D37" s="406"/>
      <c r="E37" s="406">
        <v>3142</v>
      </c>
      <c r="F37" s="406">
        <v>3142</v>
      </c>
      <c r="G37" s="406">
        <v>3142</v>
      </c>
      <c r="H37" s="337">
        <f t="shared" si="0"/>
        <v>0</v>
      </c>
    </row>
    <row r="38" spans="1:8" ht="28.5" x14ac:dyDescent="0.2">
      <c r="A38" s="409" t="s">
        <v>422</v>
      </c>
      <c r="B38" s="406"/>
      <c r="C38" s="456"/>
      <c r="D38" s="406"/>
      <c r="E38" s="406"/>
      <c r="F38" s="406">
        <v>9766</v>
      </c>
      <c r="G38" s="406">
        <v>9766</v>
      </c>
      <c r="H38" s="337">
        <f t="shared" si="0"/>
        <v>0</v>
      </c>
    </row>
    <row r="39" spans="1:8" ht="13.5" customHeight="1" x14ac:dyDescent="0.2">
      <c r="D39" s="462"/>
      <c r="E39" s="462"/>
      <c r="F39" s="462"/>
      <c r="G39" s="462"/>
      <c r="H39" s="337">
        <f t="shared" si="0"/>
        <v>0</v>
      </c>
    </row>
    <row r="40" spans="1:8" ht="13.5" customHeight="1" x14ac:dyDescent="0.2">
      <c r="A40" s="409"/>
      <c r="B40" s="406"/>
      <c r="C40" s="456"/>
      <c r="D40" s="406"/>
      <c r="E40" s="406"/>
      <c r="F40" s="406"/>
      <c r="G40" s="406"/>
      <c r="H40" s="337">
        <f t="shared" si="0"/>
        <v>0</v>
      </c>
    </row>
    <row r="41" spans="1:8" s="1" customFormat="1" ht="15" x14ac:dyDescent="0.25">
      <c r="A41" s="403" t="s">
        <v>382</v>
      </c>
      <c r="B41" s="427">
        <f>SUM(B22:B38)</f>
        <v>12281</v>
      </c>
      <c r="C41" s="458">
        <f>SUM(C22:C38)</f>
        <v>15185</v>
      </c>
      <c r="D41" s="458">
        <f>SUM(D22:D38)</f>
        <v>30251</v>
      </c>
      <c r="E41" s="458">
        <f>SUM(E22:E38)</f>
        <v>34141</v>
      </c>
      <c r="F41" s="458">
        <f>SUM(F22:F38)</f>
        <v>43907</v>
      </c>
      <c r="G41" s="458">
        <f>SUM(G22:G38)</f>
        <v>43907</v>
      </c>
      <c r="H41" s="337">
        <f t="shared" si="0"/>
        <v>0</v>
      </c>
    </row>
    <row r="42" spans="1:8" s="1" customFormat="1" ht="15" x14ac:dyDescent="0.25">
      <c r="A42" s="403"/>
      <c r="B42" s="410"/>
      <c r="C42" s="459"/>
      <c r="D42" s="412"/>
      <c r="E42" s="412"/>
      <c r="F42" s="412"/>
      <c r="G42" s="412"/>
      <c r="H42" s="337">
        <f t="shared" si="0"/>
        <v>0</v>
      </c>
    </row>
    <row r="43" spans="1:8" ht="30" x14ac:dyDescent="0.25">
      <c r="A43" s="403" t="s">
        <v>383</v>
      </c>
      <c r="B43" s="406"/>
      <c r="C43" s="456">
        <f>SUM(C44:C45)</f>
        <v>71</v>
      </c>
      <c r="D43" s="456">
        <f>SUM(D44:D45)</f>
        <v>71</v>
      </c>
      <c r="E43" s="456">
        <v>71</v>
      </c>
      <c r="F43" s="456">
        <v>71</v>
      </c>
      <c r="G43" s="456">
        <v>71</v>
      </c>
      <c r="H43" s="337">
        <f t="shared" si="0"/>
        <v>0</v>
      </c>
    </row>
    <row r="44" spans="1:8" ht="28.5" x14ac:dyDescent="0.2">
      <c r="A44" s="409" t="s">
        <v>403</v>
      </c>
      <c r="B44" s="406"/>
      <c r="C44" s="456">
        <v>71</v>
      </c>
      <c r="D44" s="456">
        <v>71</v>
      </c>
      <c r="E44" s="456">
        <v>71</v>
      </c>
      <c r="F44" s="456">
        <v>71</v>
      </c>
      <c r="G44" s="456">
        <v>71</v>
      </c>
      <c r="H44" s="337">
        <f t="shared" si="0"/>
        <v>0</v>
      </c>
    </row>
    <row r="45" spans="1:8" ht="15" x14ac:dyDescent="0.25">
      <c r="A45" s="403"/>
      <c r="B45" s="404"/>
      <c r="C45" s="454"/>
      <c r="D45" s="404"/>
      <c r="E45" s="404"/>
      <c r="F45" s="404"/>
      <c r="G45" s="404"/>
      <c r="H45" s="337">
        <f t="shared" si="0"/>
        <v>0</v>
      </c>
    </row>
    <row r="46" spans="1:8" ht="30" x14ac:dyDescent="0.25">
      <c r="A46" s="403" t="s">
        <v>125</v>
      </c>
      <c r="B46" s="404">
        <f>B43+B41+B19</f>
        <v>16481</v>
      </c>
      <c r="C46" s="454">
        <f>C43+C41+C19</f>
        <v>20510</v>
      </c>
      <c r="D46" s="454">
        <f>D43+D41+D19</f>
        <v>35576</v>
      </c>
      <c r="E46" s="454">
        <f>E43+E41+E19</f>
        <v>39466</v>
      </c>
      <c r="F46" s="454">
        <f>F43+F41+F19</f>
        <v>49232</v>
      </c>
      <c r="G46" s="454">
        <f>G43+G41+G19</f>
        <v>49232</v>
      </c>
      <c r="H46" s="337">
        <f t="shared" si="0"/>
        <v>0</v>
      </c>
    </row>
    <row r="47" spans="1:8" ht="15.75" thickBot="1" x14ac:dyDescent="0.3">
      <c r="A47" s="413"/>
      <c r="B47" s="404"/>
      <c r="C47" s="460"/>
      <c r="D47" s="404"/>
      <c r="E47" s="404"/>
      <c r="F47" s="404"/>
      <c r="G47" s="404"/>
      <c r="H47" s="337">
        <f t="shared" si="0"/>
        <v>0</v>
      </c>
    </row>
    <row r="48" spans="1:8" ht="31.5" x14ac:dyDescent="0.25">
      <c r="A48" s="224" t="s">
        <v>122</v>
      </c>
      <c r="B48" s="338"/>
      <c r="C48" s="339"/>
      <c r="D48" s="338"/>
      <c r="E48" s="338"/>
      <c r="F48" s="338"/>
      <c r="G48" s="338"/>
      <c r="H48" s="337">
        <f t="shared" si="0"/>
        <v>0</v>
      </c>
    </row>
    <row r="49" spans="1:8" ht="15" x14ac:dyDescent="0.2">
      <c r="A49" s="136" t="s">
        <v>123</v>
      </c>
      <c r="B49" s="338"/>
      <c r="C49" s="339"/>
      <c r="D49" s="338"/>
      <c r="E49" s="338"/>
      <c r="F49" s="338"/>
      <c r="G49" s="338"/>
      <c r="H49" s="337">
        <f t="shared" si="0"/>
        <v>0</v>
      </c>
    </row>
    <row r="50" spans="1:8" s="1" customFormat="1" ht="30" x14ac:dyDescent="0.2">
      <c r="A50" s="137" t="s">
        <v>118</v>
      </c>
      <c r="B50" s="338"/>
      <c r="C50" s="339"/>
      <c r="D50" s="338"/>
      <c r="E50" s="338"/>
      <c r="F50" s="338"/>
      <c r="G50" s="338"/>
      <c r="H50" s="337">
        <f t="shared" si="0"/>
        <v>0</v>
      </c>
    </row>
    <row r="51" spans="1:8" ht="45" x14ac:dyDescent="0.2">
      <c r="A51" s="137" t="s">
        <v>257</v>
      </c>
      <c r="B51" s="338">
        <v>1377</v>
      </c>
      <c r="C51" s="339">
        <f>1377+419</f>
        <v>1796</v>
      </c>
      <c r="D51" s="339">
        <f>1377+419</f>
        <v>1796</v>
      </c>
      <c r="E51" s="339">
        <f>1377+419</f>
        <v>1796</v>
      </c>
      <c r="F51" s="339">
        <v>1796</v>
      </c>
      <c r="G51" s="339">
        <v>1796</v>
      </c>
      <c r="H51" s="337">
        <f t="shared" si="0"/>
        <v>0</v>
      </c>
    </row>
    <row r="52" spans="1:8" ht="32.25" thickBot="1" x14ac:dyDescent="0.3">
      <c r="A52" s="138" t="s">
        <v>124</v>
      </c>
      <c r="B52" s="338">
        <f>SUM(B49:B51)</f>
        <v>1377</v>
      </c>
      <c r="C52" s="461">
        <f t="shared" ref="C52:G52" si="1">SUM(C49:C51)</f>
        <v>1796</v>
      </c>
      <c r="D52" s="461">
        <f t="shared" si="1"/>
        <v>1796</v>
      </c>
      <c r="E52" s="461">
        <f t="shared" si="1"/>
        <v>1796</v>
      </c>
      <c r="F52" s="461">
        <f t="shared" si="1"/>
        <v>1796</v>
      </c>
      <c r="G52" s="461">
        <f t="shared" si="1"/>
        <v>1796</v>
      </c>
      <c r="H52" s="337">
        <f t="shared" si="0"/>
        <v>0</v>
      </c>
    </row>
    <row r="53" spans="1:8" ht="15" x14ac:dyDescent="0.2">
      <c r="A53" s="323"/>
      <c r="B53" s="338"/>
      <c r="C53" s="339"/>
      <c r="D53" s="338"/>
      <c r="E53" s="338"/>
      <c r="F53" s="338"/>
      <c r="G53" s="338"/>
      <c r="H53" s="337">
        <f t="shared" si="0"/>
        <v>0</v>
      </c>
    </row>
    <row r="54" spans="1:8" ht="15" x14ac:dyDescent="0.2">
      <c r="A54" s="472"/>
      <c r="B54" s="473"/>
      <c r="C54" s="474"/>
      <c r="D54" s="473"/>
      <c r="E54" s="473"/>
      <c r="F54" s="473"/>
      <c r="G54" s="473"/>
      <c r="H54" s="337">
        <f t="shared" si="0"/>
        <v>0</v>
      </c>
    </row>
    <row r="55" spans="1:8" ht="31.5" x14ac:dyDescent="0.25">
      <c r="A55" s="475" t="s">
        <v>125</v>
      </c>
      <c r="B55" s="463">
        <f>B52+B46</f>
        <v>17858</v>
      </c>
      <c r="C55" s="463">
        <f t="shared" ref="C55:G55" si="2">C52+C46</f>
        <v>22306</v>
      </c>
      <c r="D55" s="463">
        <f t="shared" si="2"/>
        <v>37372</v>
      </c>
      <c r="E55" s="463">
        <f t="shared" si="2"/>
        <v>41262</v>
      </c>
      <c r="F55" s="463">
        <f t="shared" si="2"/>
        <v>51028</v>
      </c>
      <c r="G55" s="463">
        <f t="shared" si="2"/>
        <v>51028</v>
      </c>
      <c r="H55" s="337">
        <f t="shared" si="0"/>
        <v>0</v>
      </c>
    </row>
    <row r="56" spans="1:8" ht="14.25" x14ac:dyDescent="0.2">
      <c r="A56" s="464"/>
      <c r="B56" s="433"/>
      <c r="C56" s="433"/>
      <c r="D56" s="433"/>
      <c r="E56" s="433"/>
      <c r="F56" s="433"/>
      <c r="G56" s="433"/>
      <c r="H56" s="435"/>
    </row>
    <row r="57" spans="1:8" ht="14.25" x14ac:dyDescent="0.2">
      <c r="A57" s="464"/>
      <c r="B57" s="433"/>
      <c r="C57" s="433"/>
      <c r="D57" s="433"/>
      <c r="E57" s="433"/>
      <c r="F57" s="433"/>
      <c r="G57" s="433"/>
      <c r="H57" s="435"/>
    </row>
    <row r="58" spans="1:8" ht="14.25" x14ac:dyDescent="0.2">
      <c r="A58" s="464"/>
      <c r="B58" s="433"/>
      <c r="C58" s="433"/>
      <c r="D58" s="433"/>
      <c r="E58" s="433"/>
      <c r="F58" s="433"/>
      <c r="G58" s="433"/>
      <c r="H58" s="435"/>
    </row>
    <row r="59" spans="1:8" ht="15" x14ac:dyDescent="0.25">
      <c r="A59" s="465"/>
      <c r="B59" s="436"/>
      <c r="C59" s="436"/>
      <c r="D59" s="436"/>
      <c r="E59" s="436"/>
      <c r="F59" s="436"/>
      <c r="G59" s="436"/>
      <c r="H59" s="436"/>
    </row>
    <row r="60" spans="1:8" ht="14.25" x14ac:dyDescent="0.2">
      <c r="A60" s="262"/>
      <c r="B60" s="435"/>
      <c r="C60" s="435"/>
      <c r="D60" s="435"/>
      <c r="E60" s="435"/>
      <c r="F60" s="435"/>
      <c r="G60" s="435"/>
      <c r="H60" s="435"/>
    </row>
    <row r="61" spans="1:8" ht="14.25" x14ac:dyDescent="0.2">
      <c r="A61" s="262"/>
      <c r="B61" s="435"/>
      <c r="C61" s="435"/>
      <c r="D61" s="435"/>
      <c r="E61" s="435"/>
      <c r="F61" s="435"/>
      <c r="G61" s="435"/>
      <c r="H61" s="435"/>
    </row>
    <row r="62" spans="1:8" ht="14.25" x14ac:dyDescent="0.2">
      <c r="A62" s="262"/>
      <c r="B62" s="435"/>
      <c r="C62" s="435"/>
      <c r="D62" s="435"/>
      <c r="E62" s="435"/>
      <c r="F62" s="435"/>
      <c r="G62" s="435"/>
      <c r="H62" s="435"/>
    </row>
    <row r="63" spans="1:8" ht="14.25" x14ac:dyDescent="0.2">
      <c r="A63" s="262"/>
      <c r="B63" s="435"/>
      <c r="C63" s="435"/>
      <c r="D63" s="435"/>
      <c r="E63" s="435"/>
      <c r="F63" s="435"/>
      <c r="G63" s="435"/>
      <c r="H63" s="435"/>
    </row>
    <row r="64" spans="1:8" ht="15" x14ac:dyDescent="0.25">
      <c r="A64" s="465"/>
      <c r="B64" s="436"/>
      <c r="C64" s="436"/>
      <c r="D64" s="436"/>
      <c r="E64" s="436"/>
      <c r="F64" s="436"/>
      <c r="G64" s="436"/>
      <c r="H64" s="436"/>
    </row>
    <row r="65" spans="1:8" ht="15" x14ac:dyDescent="0.25">
      <c r="A65" s="465"/>
      <c r="B65" s="436"/>
      <c r="C65" s="436"/>
      <c r="D65" s="436"/>
      <c r="E65" s="436"/>
      <c r="F65" s="436"/>
      <c r="G65" s="436"/>
      <c r="H65" s="435"/>
    </row>
    <row r="66" spans="1:8" ht="14.25" x14ac:dyDescent="0.2">
      <c r="A66" s="262"/>
      <c r="B66" s="435"/>
      <c r="C66" s="435"/>
      <c r="D66" s="435"/>
      <c r="E66" s="435"/>
      <c r="F66" s="435"/>
      <c r="G66" s="435"/>
      <c r="H66" s="435"/>
    </row>
    <row r="67" spans="1:8" ht="14.25" x14ac:dyDescent="0.2">
      <c r="A67" s="262"/>
      <c r="B67" s="435"/>
      <c r="C67" s="435"/>
      <c r="D67" s="435"/>
      <c r="E67" s="435"/>
      <c r="F67" s="435"/>
      <c r="G67" s="435"/>
      <c r="H67" s="435"/>
    </row>
    <row r="68" spans="1:8" ht="14.25" x14ac:dyDescent="0.2">
      <c r="A68" s="262"/>
      <c r="B68" s="435"/>
      <c r="C68" s="435"/>
      <c r="D68" s="435"/>
      <c r="E68" s="435"/>
      <c r="F68" s="435"/>
      <c r="G68" s="435"/>
      <c r="H68" s="435"/>
    </row>
    <row r="69" spans="1:8" ht="14.25" x14ac:dyDescent="0.2">
      <c r="A69" s="262"/>
      <c r="B69" s="435"/>
      <c r="C69" s="435"/>
      <c r="D69" s="435"/>
      <c r="E69" s="435"/>
      <c r="F69" s="435"/>
      <c r="G69" s="435"/>
      <c r="H69" s="435"/>
    </row>
    <row r="70" spans="1:8" ht="14.25" x14ac:dyDescent="0.2">
      <c r="A70" s="262"/>
      <c r="B70" s="435"/>
      <c r="C70" s="435"/>
      <c r="D70" s="435"/>
      <c r="E70" s="435"/>
      <c r="F70" s="435"/>
      <c r="G70" s="435"/>
      <c r="H70" s="435"/>
    </row>
    <row r="71" spans="1:8" ht="14.25" customHeight="1" x14ac:dyDescent="0.2">
      <c r="A71" s="262"/>
      <c r="B71" s="435"/>
      <c r="C71" s="435"/>
      <c r="D71" s="435"/>
      <c r="E71" s="435"/>
      <c r="F71" s="435"/>
      <c r="G71" s="435"/>
      <c r="H71" s="435"/>
    </row>
    <row r="72" spans="1:8" ht="14.25" customHeight="1" x14ac:dyDescent="0.2">
      <c r="A72" s="262"/>
      <c r="B72" s="435"/>
      <c r="C72" s="435"/>
      <c r="D72" s="435"/>
      <c r="E72" s="435"/>
      <c r="F72" s="435"/>
      <c r="G72" s="435"/>
      <c r="H72" s="435"/>
    </row>
    <row r="73" spans="1:8" ht="30" customHeight="1" x14ac:dyDescent="0.2">
      <c r="A73" s="262"/>
      <c r="B73" s="435"/>
      <c r="C73" s="435"/>
      <c r="D73" s="435"/>
      <c r="E73" s="435"/>
      <c r="F73" s="435"/>
      <c r="G73" s="435"/>
      <c r="H73" s="435"/>
    </row>
    <row r="74" spans="1:8" ht="16.5" customHeight="1" x14ac:dyDescent="0.2">
      <c r="A74" s="262"/>
      <c r="B74" s="435"/>
      <c r="C74" s="435"/>
      <c r="D74" s="435"/>
      <c r="E74" s="435"/>
      <c r="F74" s="435"/>
      <c r="G74" s="435"/>
      <c r="H74" s="435"/>
    </row>
    <row r="75" spans="1:8" ht="15" x14ac:dyDescent="0.25">
      <c r="A75" s="465"/>
      <c r="B75" s="466"/>
      <c r="C75" s="466"/>
      <c r="D75" s="466"/>
      <c r="E75" s="466"/>
      <c r="F75" s="466"/>
      <c r="G75" s="466"/>
      <c r="H75" s="466"/>
    </row>
    <row r="76" spans="1:8" ht="15" x14ac:dyDescent="0.25">
      <c r="A76" s="465"/>
      <c r="B76" s="315"/>
      <c r="C76" s="315"/>
      <c r="D76" s="315"/>
      <c r="E76" s="315"/>
      <c r="F76" s="315"/>
      <c r="G76" s="315"/>
      <c r="H76" s="315"/>
    </row>
    <row r="77" spans="1:8" ht="14.25" x14ac:dyDescent="0.2">
      <c r="A77" s="262"/>
      <c r="B77" s="435"/>
      <c r="C77" s="435"/>
      <c r="D77" s="435"/>
      <c r="E77" s="435"/>
      <c r="F77" s="435"/>
      <c r="G77" s="435"/>
      <c r="H77" s="435"/>
    </row>
    <row r="78" spans="1:8" ht="14.25" x14ac:dyDescent="0.2">
      <c r="A78" s="262"/>
      <c r="B78" s="435"/>
      <c r="C78" s="435"/>
      <c r="D78" s="435"/>
      <c r="E78" s="435"/>
      <c r="F78" s="435"/>
      <c r="G78" s="435"/>
      <c r="H78" s="435"/>
    </row>
    <row r="79" spans="1:8" ht="14.25" x14ac:dyDescent="0.2">
      <c r="A79" s="262"/>
      <c r="B79" s="435"/>
      <c r="C79" s="435"/>
      <c r="D79" s="435"/>
      <c r="E79" s="435"/>
      <c r="F79" s="435"/>
      <c r="G79" s="435"/>
      <c r="H79" s="435"/>
    </row>
    <row r="80" spans="1:8" ht="12" customHeight="1" x14ac:dyDescent="0.2">
      <c r="A80" s="262"/>
      <c r="B80" s="467"/>
      <c r="C80" s="467"/>
      <c r="D80" s="467"/>
      <c r="E80" s="467"/>
      <c r="F80" s="467"/>
      <c r="G80" s="467"/>
      <c r="H80" s="435"/>
    </row>
    <row r="81" spans="1:8" ht="14.25" x14ac:dyDescent="0.2">
      <c r="A81" s="262"/>
      <c r="B81" s="467"/>
      <c r="C81" s="467"/>
      <c r="D81" s="467"/>
      <c r="E81" s="467"/>
      <c r="F81" s="467"/>
      <c r="G81" s="467"/>
      <c r="H81" s="435"/>
    </row>
    <row r="82" spans="1:8" ht="14.25" x14ac:dyDescent="0.2">
      <c r="A82" s="262"/>
      <c r="B82" s="467"/>
      <c r="C82" s="467"/>
      <c r="D82" s="467"/>
      <c r="E82" s="467"/>
      <c r="F82" s="467"/>
      <c r="G82" s="467"/>
      <c r="H82" s="435"/>
    </row>
    <row r="83" spans="1:8" ht="14.25" x14ac:dyDescent="0.2">
      <c r="A83" s="262"/>
      <c r="B83" s="467"/>
      <c r="C83" s="467"/>
      <c r="D83" s="467"/>
      <c r="E83" s="467"/>
      <c r="F83" s="467"/>
      <c r="G83" s="467"/>
      <c r="H83" s="435"/>
    </row>
    <row r="84" spans="1:8" ht="15" x14ac:dyDescent="0.25">
      <c r="A84" s="465"/>
      <c r="B84" s="466"/>
      <c r="C84" s="466"/>
      <c r="D84" s="466"/>
      <c r="E84" s="466"/>
      <c r="F84" s="466"/>
      <c r="G84" s="466"/>
      <c r="H84" s="466"/>
    </row>
    <row r="85" spans="1:8" ht="15" x14ac:dyDescent="0.25">
      <c r="A85" s="465"/>
      <c r="B85" s="468"/>
      <c r="C85" s="468"/>
      <c r="D85" s="468"/>
      <c r="E85" s="468"/>
      <c r="F85" s="468"/>
      <c r="G85" s="468"/>
      <c r="H85" s="435"/>
    </row>
    <row r="86" spans="1:8" ht="14.25" x14ac:dyDescent="0.2">
      <c r="A86" s="262"/>
      <c r="B86" s="435"/>
      <c r="C86" s="435"/>
      <c r="D86" s="435"/>
      <c r="E86" s="435"/>
      <c r="F86" s="435"/>
      <c r="G86" s="435"/>
      <c r="H86" s="435"/>
    </row>
    <row r="87" spans="1:8" ht="14.25" x14ac:dyDescent="0.2">
      <c r="A87" s="262"/>
      <c r="B87" s="467"/>
      <c r="C87" s="467"/>
      <c r="D87" s="467"/>
      <c r="E87" s="467"/>
      <c r="F87" s="467"/>
      <c r="G87" s="467"/>
      <c r="H87" s="435"/>
    </row>
    <row r="88" spans="1:8" ht="14.25" x14ac:dyDescent="0.2">
      <c r="A88" s="262"/>
      <c r="B88" s="467"/>
      <c r="C88" s="467"/>
      <c r="D88" s="467"/>
      <c r="E88" s="467"/>
      <c r="F88" s="467"/>
      <c r="G88" s="467"/>
      <c r="H88" s="435"/>
    </row>
    <row r="89" spans="1:8" ht="14.25" x14ac:dyDescent="0.2">
      <c r="A89" s="262"/>
      <c r="B89" s="467"/>
      <c r="C89" s="467"/>
      <c r="D89" s="467"/>
      <c r="E89" s="467"/>
      <c r="F89" s="467"/>
      <c r="G89" s="467"/>
      <c r="H89" s="435"/>
    </row>
    <row r="90" spans="1:8" ht="14.25" x14ac:dyDescent="0.2">
      <c r="A90" s="262"/>
      <c r="B90" s="467"/>
      <c r="C90" s="467"/>
      <c r="D90" s="467"/>
      <c r="E90" s="467"/>
      <c r="F90" s="467"/>
      <c r="G90" s="467"/>
      <c r="H90" s="435"/>
    </row>
    <row r="91" spans="1:8" ht="14.25" x14ac:dyDescent="0.2">
      <c r="A91" s="262"/>
      <c r="B91" s="467"/>
      <c r="C91" s="467"/>
      <c r="D91" s="467"/>
      <c r="E91" s="467"/>
      <c r="F91" s="467"/>
      <c r="G91" s="467"/>
      <c r="H91" s="435"/>
    </row>
    <row r="92" spans="1:8" ht="14.25" x14ac:dyDescent="0.2">
      <c r="A92" s="262"/>
      <c r="B92" s="467"/>
      <c r="C92" s="467"/>
      <c r="D92" s="467"/>
      <c r="E92" s="467"/>
      <c r="F92" s="467"/>
      <c r="G92" s="467"/>
      <c r="H92" s="435"/>
    </row>
    <row r="93" spans="1:8" ht="14.25" x14ac:dyDescent="0.2">
      <c r="A93" s="262"/>
      <c r="B93" s="467"/>
      <c r="C93" s="467"/>
      <c r="D93" s="467"/>
      <c r="E93" s="467"/>
      <c r="F93" s="467"/>
      <c r="G93" s="467"/>
      <c r="H93" s="435"/>
    </row>
    <row r="94" spans="1:8" ht="14.25" x14ac:dyDescent="0.2">
      <c r="A94" s="262"/>
      <c r="B94" s="467"/>
      <c r="C94" s="467"/>
      <c r="D94" s="467"/>
      <c r="E94" s="467"/>
      <c r="F94" s="467"/>
      <c r="G94" s="467"/>
      <c r="H94" s="435"/>
    </row>
    <row r="95" spans="1:8" ht="14.25" customHeight="1" x14ac:dyDescent="0.2">
      <c r="A95" s="262"/>
      <c r="B95" s="467"/>
      <c r="C95" s="467"/>
      <c r="D95" s="467"/>
      <c r="E95" s="467"/>
      <c r="F95" s="467"/>
      <c r="G95" s="467"/>
      <c r="H95" s="435"/>
    </row>
    <row r="96" spans="1:8" ht="14.25" x14ac:dyDescent="0.2">
      <c r="A96" s="262"/>
      <c r="B96" s="467"/>
      <c r="C96" s="467"/>
      <c r="D96" s="467"/>
      <c r="E96" s="467"/>
      <c r="F96" s="467"/>
      <c r="G96" s="467"/>
      <c r="H96" s="435"/>
    </row>
    <row r="97" spans="1:8" ht="15" x14ac:dyDescent="0.25">
      <c r="A97" s="465"/>
      <c r="B97" s="466"/>
      <c r="C97" s="466"/>
      <c r="D97" s="466"/>
      <c r="E97" s="466"/>
      <c r="F97" s="466"/>
      <c r="G97" s="466"/>
      <c r="H97" s="466"/>
    </row>
    <row r="98" spans="1:8" ht="15" x14ac:dyDescent="0.25">
      <c r="A98" s="465"/>
      <c r="B98" s="466"/>
      <c r="C98" s="466"/>
      <c r="D98" s="466"/>
      <c r="E98" s="466"/>
      <c r="F98" s="466"/>
      <c r="G98" s="466"/>
      <c r="H98" s="435"/>
    </row>
    <row r="99" spans="1:8" ht="14.25" x14ac:dyDescent="0.2">
      <c r="A99" s="469"/>
      <c r="B99" s="434"/>
      <c r="C99" s="434"/>
      <c r="D99" s="434"/>
      <c r="E99" s="434"/>
      <c r="F99" s="434"/>
      <c r="G99" s="434"/>
      <c r="H99" s="435"/>
    </row>
    <row r="100" spans="1:8" ht="14.25" x14ac:dyDescent="0.2">
      <c r="A100" s="469"/>
      <c r="B100" s="434"/>
      <c r="C100" s="434"/>
      <c r="D100" s="434"/>
      <c r="E100" s="434"/>
      <c r="F100" s="434"/>
      <c r="G100" s="434"/>
      <c r="H100" s="435"/>
    </row>
    <row r="101" spans="1:8" ht="14.25" x14ac:dyDescent="0.2">
      <c r="A101" s="469"/>
      <c r="B101" s="434"/>
      <c r="C101" s="434"/>
      <c r="D101" s="434"/>
      <c r="E101" s="434"/>
      <c r="F101" s="434"/>
      <c r="G101" s="434"/>
      <c r="H101" s="435"/>
    </row>
    <row r="102" spans="1:8" ht="15" x14ac:dyDescent="0.25">
      <c r="A102" s="470"/>
      <c r="B102" s="471"/>
      <c r="C102" s="471"/>
      <c r="D102" s="471"/>
      <c r="E102" s="471"/>
      <c r="F102" s="471"/>
      <c r="G102" s="471"/>
      <c r="H102" s="471"/>
    </row>
    <row r="103" spans="1:8" ht="15" x14ac:dyDescent="0.25">
      <c r="A103" s="465"/>
      <c r="B103" s="466"/>
      <c r="C103" s="466"/>
      <c r="D103" s="466"/>
      <c r="E103" s="466"/>
      <c r="F103" s="466"/>
      <c r="G103" s="466"/>
      <c r="H103" s="435"/>
    </row>
    <row r="104" spans="1:8" ht="14.25" x14ac:dyDescent="0.2">
      <c r="A104" s="262"/>
      <c r="B104" s="435"/>
      <c r="C104" s="435"/>
      <c r="D104" s="435"/>
      <c r="E104" s="435"/>
      <c r="F104" s="435"/>
      <c r="G104" s="435"/>
      <c r="H104" s="435"/>
    </row>
    <row r="105" spans="1:8" ht="14.25" x14ac:dyDescent="0.2">
      <c r="A105" s="262"/>
      <c r="B105" s="435"/>
      <c r="C105" s="435"/>
      <c r="D105" s="435"/>
      <c r="E105" s="435"/>
      <c r="F105" s="435"/>
      <c r="G105" s="435"/>
      <c r="H105" s="435"/>
    </row>
    <row r="106" spans="1:8" ht="14.25" x14ac:dyDescent="0.2">
      <c r="A106" s="262"/>
      <c r="B106" s="435"/>
      <c r="C106" s="435"/>
      <c r="D106" s="435"/>
      <c r="E106" s="435"/>
      <c r="F106" s="435"/>
      <c r="G106" s="435"/>
      <c r="H106" s="435"/>
    </row>
    <row r="107" spans="1:8" ht="14.25" x14ac:dyDescent="0.2">
      <c r="A107" s="262"/>
      <c r="B107" s="435"/>
      <c r="C107" s="435"/>
      <c r="D107" s="435"/>
      <c r="E107" s="435"/>
      <c r="F107" s="435"/>
      <c r="G107" s="435"/>
      <c r="H107" s="435"/>
    </row>
    <row r="108" spans="1:8" ht="14.25" x14ac:dyDescent="0.2">
      <c r="A108" s="262"/>
      <c r="B108" s="435"/>
      <c r="C108" s="435"/>
      <c r="D108" s="435"/>
      <c r="E108" s="435"/>
      <c r="F108" s="435"/>
      <c r="G108" s="435"/>
      <c r="H108" s="435"/>
    </row>
    <row r="109" spans="1:8" ht="14.25" x14ac:dyDescent="0.2">
      <c r="A109" s="262"/>
      <c r="B109" s="435"/>
      <c r="C109" s="435"/>
      <c r="D109" s="435"/>
      <c r="E109" s="435"/>
      <c r="F109" s="435"/>
      <c r="G109" s="435"/>
      <c r="H109" s="435"/>
    </row>
    <row r="110" spans="1:8" ht="14.25" x14ac:dyDescent="0.2">
      <c r="A110" s="262"/>
      <c r="B110" s="435"/>
      <c r="C110" s="435"/>
      <c r="D110" s="435"/>
      <c r="E110" s="435"/>
      <c r="F110" s="435"/>
      <c r="G110" s="435"/>
      <c r="H110" s="435"/>
    </row>
    <row r="111" spans="1:8" ht="14.25" x14ac:dyDescent="0.2">
      <c r="A111" s="262"/>
      <c r="B111" s="435"/>
      <c r="C111" s="435"/>
      <c r="D111" s="435"/>
      <c r="E111" s="435"/>
      <c r="F111" s="435"/>
      <c r="G111" s="435"/>
      <c r="H111" s="435"/>
    </row>
    <row r="112" spans="1:8" ht="14.25" x14ac:dyDescent="0.2">
      <c r="A112" s="262"/>
      <c r="B112" s="435"/>
      <c r="C112" s="435"/>
      <c r="D112" s="435"/>
      <c r="E112" s="435"/>
      <c r="F112" s="435"/>
      <c r="G112" s="435"/>
      <c r="H112" s="435"/>
    </row>
    <row r="113" spans="1:8" ht="14.25" x14ac:dyDescent="0.2">
      <c r="A113" s="262"/>
      <c r="B113" s="435"/>
      <c r="C113" s="435"/>
      <c r="D113" s="435"/>
      <c r="E113" s="435"/>
      <c r="F113" s="435"/>
      <c r="G113" s="435"/>
      <c r="H113" s="435"/>
    </row>
    <row r="114" spans="1:8" ht="15" x14ac:dyDescent="0.25">
      <c r="A114" s="465"/>
      <c r="B114" s="436"/>
      <c r="C114" s="436"/>
      <c r="D114" s="436"/>
      <c r="E114" s="436"/>
      <c r="F114" s="436"/>
      <c r="G114" s="436"/>
      <c r="H114" s="436"/>
    </row>
    <row r="115" spans="1:8" ht="14.25" x14ac:dyDescent="0.2">
      <c r="A115" s="262"/>
      <c r="B115" s="435"/>
      <c r="C115" s="435"/>
      <c r="D115" s="435"/>
      <c r="E115" s="435"/>
      <c r="F115" s="435"/>
      <c r="G115" s="435"/>
      <c r="H115" s="435"/>
    </row>
    <row r="116" spans="1:8" ht="14.25" x14ac:dyDescent="0.2">
      <c r="A116" s="262"/>
      <c r="B116" s="435"/>
      <c r="C116" s="435"/>
      <c r="D116" s="435"/>
      <c r="E116" s="435"/>
      <c r="F116" s="435"/>
      <c r="G116" s="435"/>
      <c r="H116" s="435"/>
    </row>
    <row r="117" spans="1:8" ht="15" x14ac:dyDescent="0.25">
      <c r="A117" s="465"/>
      <c r="B117" s="466"/>
      <c r="C117" s="466"/>
      <c r="D117" s="466"/>
      <c r="E117" s="466"/>
      <c r="F117" s="466"/>
      <c r="G117" s="466"/>
      <c r="H117" s="435"/>
    </row>
    <row r="118" spans="1:8" ht="14.25" x14ac:dyDescent="0.2">
      <c r="A118" s="262"/>
      <c r="B118" s="435"/>
      <c r="C118" s="435"/>
      <c r="D118" s="435"/>
      <c r="E118" s="435"/>
      <c r="F118" s="435"/>
      <c r="G118" s="435"/>
      <c r="H118" s="435"/>
    </row>
    <row r="119" spans="1:8" ht="14.25" x14ac:dyDescent="0.2">
      <c r="A119" s="262"/>
      <c r="B119" s="435"/>
      <c r="C119" s="435"/>
      <c r="D119" s="435"/>
      <c r="E119" s="435"/>
      <c r="F119" s="435"/>
      <c r="G119" s="435"/>
      <c r="H119" s="435"/>
    </row>
    <row r="120" spans="1:8" ht="14.25" x14ac:dyDescent="0.2">
      <c r="A120" s="262"/>
      <c r="B120" s="435"/>
      <c r="C120" s="435"/>
      <c r="D120" s="435"/>
      <c r="E120" s="435"/>
      <c r="F120" s="435"/>
      <c r="G120" s="435"/>
      <c r="H120" s="435"/>
    </row>
    <row r="121" spans="1:8" ht="14.25" x14ac:dyDescent="0.2">
      <c r="A121" s="262"/>
      <c r="B121" s="435"/>
      <c r="C121" s="435"/>
      <c r="D121" s="435"/>
      <c r="E121" s="435"/>
      <c r="F121" s="435"/>
      <c r="G121" s="435"/>
      <c r="H121" s="435"/>
    </row>
    <row r="122" spans="1:8" ht="14.25" x14ac:dyDescent="0.2">
      <c r="A122" s="262"/>
      <c r="B122" s="435"/>
      <c r="C122" s="435"/>
      <c r="D122" s="435"/>
      <c r="E122" s="435"/>
      <c r="F122" s="435"/>
      <c r="G122" s="435"/>
      <c r="H122" s="435"/>
    </row>
    <row r="123" spans="1:8" ht="14.25" x14ac:dyDescent="0.2">
      <c r="A123" s="262"/>
      <c r="B123" s="435"/>
      <c r="C123" s="435"/>
      <c r="D123" s="435"/>
      <c r="E123" s="435"/>
      <c r="F123" s="435"/>
      <c r="G123" s="435"/>
      <c r="H123" s="435"/>
    </row>
    <row r="124" spans="1:8" ht="14.25" x14ac:dyDescent="0.2">
      <c r="A124" s="262"/>
      <c r="B124" s="435"/>
      <c r="C124" s="435"/>
      <c r="D124" s="435"/>
      <c r="E124" s="435"/>
      <c r="F124" s="435"/>
      <c r="G124" s="435"/>
      <c r="H124" s="435"/>
    </row>
    <row r="125" spans="1:8" ht="14.25" x14ac:dyDescent="0.2">
      <c r="A125" s="262"/>
      <c r="B125" s="435"/>
      <c r="C125" s="435"/>
      <c r="D125" s="435"/>
      <c r="E125" s="435"/>
      <c r="F125" s="435"/>
      <c r="G125" s="435"/>
      <c r="H125" s="435"/>
    </row>
    <row r="126" spans="1:8" ht="14.25" x14ac:dyDescent="0.2">
      <c r="A126" s="262"/>
      <c r="B126" s="435"/>
      <c r="C126" s="435"/>
      <c r="D126" s="435"/>
      <c r="E126" s="435"/>
      <c r="F126" s="435"/>
      <c r="G126" s="435"/>
      <c r="H126" s="435"/>
    </row>
    <row r="127" spans="1:8" ht="17.25" customHeight="1" x14ac:dyDescent="0.2">
      <c r="A127" s="262"/>
      <c r="B127" s="435"/>
      <c r="C127" s="435"/>
      <c r="D127" s="435"/>
      <c r="E127" s="435"/>
      <c r="F127" s="435"/>
      <c r="G127" s="435"/>
      <c r="H127" s="435"/>
    </row>
    <row r="128" spans="1:8" ht="15" x14ac:dyDescent="0.25">
      <c r="A128" s="465"/>
      <c r="B128" s="466"/>
      <c r="C128" s="466"/>
      <c r="D128" s="466"/>
      <c r="E128" s="466"/>
      <c r="F128" s="466"/>
      <c r="G128" s="466"/>
      <c r="H128" s="466"/>
    </row>
    <row r="129" spans="1:8" ht="14.25" x14ac:dyDescent="0.2">
      <c r="A129" s="262"/>
      <c r="B129" s="435"/>
      <c r="C129" s="435"/>
      <c r="D129" s="435"/>
      <c r="E129" s="435"/>
      <c r="F129" s="435"/>
      <c r="G129" s="435"/>
      <c r="H129" s="435"/>
    </row>
    <row r="130" spans="1:8" ht="14.25" x14ac:dyDescent="0.2">
      <c r="A130" s="262"/>
      <c r="B130" s="435"/>
      <c r="C130" s="435"/>
      <c r="D130" s="435"/>
      <c r="E130" s="435"/>
      <c r="F130" s="435"/>
      <c r="G130" s="435"/>
      <c r="H130" s="435"/>
    </row>
    <row r="131" spans="1:8" ht="14.25" x14ac:dyDescent="0.2">
      <c r="A131" s="262"/>
      <c r="B131" s="435"/>
      <c r="C131" s="435"/>
      <c r="D131" s="435"/>
      <c r="E131" s="435"/>
      <c r="F131" s="435"/>
      <c r="G131" s="435"/>
      <c r="H131" s="435"/>
    </row>
    <row r="132" spans="1:8" ht="14.25" x14ac:dyDescent="0.2">
      <c r="A132" s="262"/>
      <c r="B132" s="435"/>
      <c r="C132" s="435"/>
      <c r="D132" s="435"/>
      <c r="E132" s="435"/>
      <c r="F132" s="435"/>
      <c r="G132" s="435"/>
      <c r="H132" s="435"/>
    </row>
    <row r="133" spans="1:8" ht="15" x14ac:dyDescent="0.25">
      <c r="A133" s="465"/>
      <c r="B133" s="436"/>
      <c r="C133" s="436"/>
      <c r="D133" s="436"/>
      <c r="E133" s="436"/>
      <c r="F133" s="436"/>
      <c r="G133" s="436"/>
      <c r="H133" s="436"/>
    </row>
    <row r="134" spans="1:8" ht="15" x14ac:dyDescent="0.25">
      <c r="A134" s="465"/>
      <c r="B134" s="315"/>
      <c r="C134" s="315"/>
      <c r="D134" s="315"/>
      <c r="E134" s="315"/>
      <c r="F134" s="315"/>
      <c r="G134" s="315"/>
      <c r="H134" s="315"/>
    </row>
    <row r="135" spans="1:8" ht="14.25" x14ac:dyDescent="0.2">
      <c r="A135" s="262"/>
      <c r="B135" s="435"/>
      <c r="C135" s="435"/>
      <c r="D135" s="435"/>
      <c r="E135" s="435"/>
      <c r="F135" s="435"/>
      <c r="G135" s="435"/>
      <c r="H135" s="435"/>
    </row>
    <row r="136" spans="1:8" ht="31.5" customHeight="1" x14ac:dyDescent="0.2">
      <c r="A136" s="262"/>
      <c r="B136" s="435"/>
      <c r="C136" s="435"/>
      <c r="D136" s="435"/>
      <c r="E136" s="435"/>
      <c r="F136" s="435"/>
      <c r="G136" s="435"/>
      <c r="H136" s="435"/>
    </row>
    <row r="137" spans="1:8" ht="15" x14ac:dyDescent="0.25">
      <c r="A137" s="465"/>
      <c r="B137" s="436"/>
      <c r="C137" s="436"/>
      <c r="D137" s="436"/>
      <c r="E137" s="436"/>
      <c r="F137" s="436"/>
      <c r="G137" s="436"/>
      <c r="H137" s="436"/>
    </row>
    <row r="138" spans="1:8" ht="14.25" x14ac:dyDescent="0.2">
      <c r="A138" s="262"/>
      <c r="B138" s="435"/>
      <c r="C138" s="435"/>
      <c r="D138" s="435"/>
      <c r="E138" s="435"/>
      <c r="F138" s="435"/>
      <c r="G138" s="435"/>
      <c r="H138" s="435"/>
    </row>
    <row r="139" spans="1:8" ht="15.75" customHeight="1" x14ac:dyDescent="0.2">
      <c r="A139" s="262"/>
      <c r="B139" s="435"/>
      <c r="C139" s="435"/>
      <c r="D139" s="435"/>
      <c r="E139" s="435"/>
      <c r="F139" s="435"/>
      <c r="G139" s="435"/>
      <c r="H139" s="435"/>
    </row>
    <row r="140" spans="1:8" ht="15" x14ac:dyDescent="0.25">
      <c r="A140" s="465"/>
      <c r="B140" s="436"/>
      <c r="C140" s="436"/>
      <c r="D140" s="436"/>
      <c r="E140" s="436"/>
      <c r="F140" s="436"/>
      <c r="G140" s="436"/>
      <c r="H140" s="435"/>
    </row>
    <row r="141" spans="1:8" ht="14.25" x14ac:dyDescent="0.2">
      <c r="A141" s="262"/>
      <c r="B141" s="435"/>
      <c r="C141" s="435"/>
      <c r="D141" s="435"/>
      <c r="E141" s="435"/>
      <c r="F141" s="435"/>
      <c r="G141" s="435"/>
      <c r="H141" s="435"/>
    </row>
    <row r="142" spans="1:8" ht="14.25" x14ac:dyDescent="0.2">
      <c r="A142" s="262"/>
      <c r="B142" s="435"/>
      <c r="C142" s="435"/>
      <c r="D142" s="435"/>
      <c r="E142" s="435"/>
      <c r="F142" s="435"/>
      <c r="G142" s="435"/>
      <c r="H142" s="435"/>
    </row>
    <row r="143" spans="1:8" ht="14.25" x14ac:dyDescent="0.2">
      <c r="A143" s="262"/>
      <c r="B143" s="435"/>
      <c r="C143" s="435"/>
      <c r="D143" s="435"/>
      <c r="E143" s="435"/>
      <c r="F143" s="435"/>
      <c r="G143" s="435"/>
      <c r="H143" s="435"/>
    </row>
    <row r="144" spans="1:8" ht="14.25" x14ac:dyDescent="0.2">
      <c r="A144" s="262"/>
      <c r="B144" s="435"/>
      <c r="C144" s="435"/>
      <c r="D144" s="435"/>
      <c r="E144" s="435"/>
      <c r="F144" s="435"/>
      <c r="G144" s="435"/>
      <c r="H144" s="435"/>
    </row>
    <row r="145" spans="1:8" ht="14.25" x14ac:dyDescent="0.2">
      <c r="A145" s="262"/>
      <c r="B145" s="435"/>
      <c r="C145" s="435"/>
      <c r="D145" s="435"/>
      <c r="E145" s="435"/>
      <c r="F145" s="435"/>
      <c r="G145" s="435"/>
      <c r="H145" s="435"/>
    </row>
    <row r="146" spans="1:8" ht="14.25" customHeight="1" x14ac:dyDescent="0.2">
      <c r="A146" s="262"/>
      <c r="B146" s="435"/>
      <c r="C146" s="435"/>
      <c r="D146" s="435"/>
      <c r="E146" s="435"/>
      <c r="F146" s="435"/>
      <c r="G146" s="435"/>
      <c r="H146" s="435"/>
    </row>
    <row r="147" spans="1:8" ht="15" x14ac:dyDescent="0.25">
      <c r="A147" s="465"/>
      <c r="B147" s="466"/>
      <c r="C147" s="466"/>
      <c r="D147" s="466"/>
      <c r="E147" s="466"/>
      <c r="F147" s="466"/>
      <c r="G147" s="466"/>
      <c r="H147" s="466"/>
    </row>
    <row r="148" spans="1:8" ht="15" x14ac:dyDescent="0.25">
      <c r="A148" s="465"/>
      <c r="B148" s="466"/>
      <c r="C148" s="466"/>
      <c r="D148" s="466"/>
      <c r="E148" s="466"/>
      <c r="F148" s="466"/>
      <c r="G148" s="466"/>
      <c r="H148" s="435"/>
    </row>
    <row r="149" spans="1:8" ht="14.25" x14ac:dyDescent="0.2">
      <c r="A149" s="262"/>
      <c r="B149" s="435"/>
      <c r="C149" s="435"/>
      <c r="D149" s="435"/>
      <c r="E149" s="435"/>
      <c r="F149" s="435"/>
      <c r="G149" s="435"/>
      <c r="H149" s="435"/>
    </row>
    <row r="150" spans="1:8" s="1" customFormat="1" ht="15" x14ac:dyDescent="0.25">
      <c r="A150" s="465"/>
      <c r="B150" s="436"/>
      <c r="C150" s="436"/>
      <c r="D150" s="436"/>
      <c r="E150" s="436"/>
      <c r="F150" s="436"/>
      <c r="G150" s="436"/>
      <c r="H150" s="436"/>
    </row>
    <row r="151" spans="1:8" ht="14.25" x14ac:dyDescent="0.2">
      <c r="A151" s="262"/>
      <c r="B151" s="435"/>
      <c r="C151" s="435"/>
      <c r="D151" s="435"/>
      <c r="E151" s="435"/>
      <c r="F151" s="435"/>
      <c r="G151" s="435"/>
      <c r="H151" s="435"/>
    </row>
    <row r="152" spans="1:8" ht="14.25" x14ac:dyDescent="0.2">
      <c r="A152" s="262"/>
      <c r="B152" s="435"/>
      <c r="C152" s="435"/>
      <c r="D152" s="435"/>
      <c r="E152" s="435"/>
      <c r="F152" s="435"/>
      <c r="G152" s="435"/>
      <c r="H152" s="435"/>
    </row>
    <row r="153" spans="1:8" s="1" customFormat="1" ht="15" x14ac:dyDescent="0.25">
      <c r="A153" s="465"/>
      <c r="B153" s="436"/>
      <c r="C153" s="436"/>
      <c r="D153" s="436"/>
      <c r="E153" s="436"/>
      <c r="F153" s="436"/>
      <c r="G153" s="436"/>
      <c r="H153" s="436"/>
    </row>
    <row r="154" spans="1:8" ht="14.25" x14ac:dyDescent="0.2">
      <c r="A154" s="262"/>
      <c r="B154" s="435"/>
      <c r="C154" s="435"/>
      <c r="D154" s="435"/>
      <c r="E154" s="435"/>
      <c r="F154" s="435"/>
      <c r="G154" s="435"/>
      <c r="H154" s="435"/>
    </row>
    <row r="155" spans="1:8" ht="14.25" x14ac:dyDescent="0.2">
      <c r="A155" s="262"/>
      <c r="B155" s="435"/>
      <c r="C155" s="435"/>
      <c r="D155" s="435"/>
      <c r="E155" s="435"/>
      <c r="F155" s="435"/>
      <c r="G155" s="435"/>
      <c r="H155" s="435"/>
    </row>
    <row r="156" spans="1:8" ht="14.25" x14ac:dyDescent="0.2">
      <c r="A156" s="262"/>
      <c r="B156" s="435"/>
      <c r="C156" s="435"/>
      <c r="D156" s="435"/>
      <c r="E156" s="435"/>
      <c r="F156" s="435"/>
      <c r="G156" s="435"/>
      <c r="H156" s="435"/>
    </row>
    <row r="157" spans="1:8" ht="14.25" x14ac:dyDescent="0.2">
      <c r="A157" s="262"/>
      <c r="B157" s="435"/>
      <c r="C157" s="435"/>
      <c r="D157" s="435"/>
      <c r="E157" s="435"/>
      <c r="F157" s="435"/>
      <c r="G157" s="435"/>
      <c r="H157" s="435"/>
    </row>
    <row r="158" spans="1:8" ht="14.25" customHeight="1" x14ac:dyDescent="0.2">
      <c r="A158" s="262"/>
      <c r="B158" s="435"/>
      <c r="C158" s="435"/>
      <c r="D158" s="435"/>
      <c r="E158" s="435"/>
      <c r="F158" s="435"/>
      <c r="G158" s="435"/>
      <c r="H158" s="435"/>
    </row>
    <row r="159" spans="1:8" ht="15" x14ac:dyDescent="0.25">
      <c r="A159" s="465"/>
      <c r="B159" s="466"/>
      <c r="C159" s="466"/>
      <c r="D159" s="466"/>
      <c r="E159" s="466"/>
      <c r="F159" s="466"/>
      <c r="G159" s="466"/>
      <c r="H159" s="466"/>
    </row>
    <row r="160" spans="1:8" ht="15" x14ac:dyDescent="0.25">
      <c r="A160" s="465"/>
      <c r="B160" s="466"/>
      <c r="C160" s="466"/>
      <c r="D160" s="466"/>
      <c r="E160" s="466"/>
      <c r="F160" s="466"/>
      <c r="G160" s="466"/>
      <c r="H160" s="435"/>
    </row>
    <row r="161" spans="1:8" ht="14.25" x14ac:dyDescent="0.2">
      <c r="A161" s="262"/>
      <c r="B161" s="467"/>
      <c r="C161" s="467"/>
      <c r="D161" s="467"/>
      <c r="E161" s="467"/>
      <c r="F161" s="467"/>
      <c r="G161" s="467"/>
      <c r="H161" s="435"/>
    </row>
    <row r="162" spans="1:8" s="1" customFormat="1" ht="15" x14ac:dyDescent="0.25">
      <c r="A162" s="465"/>
      <c r="B162" s="466"/>
      <c r="C162" s="466"/>
      <c r="D162" s="466"/>
      <c r="E162" s="466"/>
      <c r="F162" s="466"/>
      <c r="G162" s="466"/>
      <c r="H162" s="466"/>
    </row>
    <row r="163" spans="1:8" s="1" customFormat="1" ht="15" x14ac:dyDescent="0.25">
      <c r="A163" s="465"/>
      <c r="B163" s="466"/>
      <c r="C163" s="466"/>
      <c r="D163" s="466"/>
      <c r="E163" s="466"/>
      <c r="F163" s="466"/>
      <c r="G163" s="466"/>
      <c r="H163" s="435"/>
    </row>
    <row r="164" spans="1:8" ht="14.25" x14ac:dyDescent="0.2">
      <c r="A164" s="262"/>
      <c r="B164" s="467"/>
      <c r="C164" s="467"/>
      <c r="D164" s="467"/>
      <c r="E164" s="467"/>
      <c r="F164" s="467"/>
      <c r="G164" s="467"/>
      <c r="H164" s="435"/>
    </row>
    <row r="165" spans="1:8" ht="14.25" x14ac:dyDescent="0.2">
      <c r="A165" s="262"/>
      <c r="B165" s="467"/>
      <c r="C165" s="467"/>
      <c r="D165" s="467"/>
      <c r="E165" s="467"/>
      <c r="F165" s="467"/>
      <c r="G165" s="467"/>
      <c r="H165" s="435"/>
    </row>
    <row r="166" spans="1:8" ht="14.25" x14ac:dyDescent="0.2">
      <c r="A166" s="262"/>
      <c r="B166" s="467"/>
      <c r="C166" s="467"/>
      <c r="D166" s="467"/>
      <c r="E166" s="467"/>
      <c r="F166" s="467"/>
      <c r="G166" s="467"/>
      <c r="H166" s="435"/>
    </row>
    <row r="167" spans="1:8" ht="14.25" customHeight="1" x14ac:dyDescent="0.2">
      <c r="A167" s="262"/>
      <c r="B167" s="467"/>
      <c r="C167" s="467"/>
      <c r="D167" s="467"/>
      <c r="E167" s="467"/>
      <c r="F167" s="467"/>
      <c r="G167" s="467"/>
      <c r="H167" s="435"/>
    </row>
    <row r="168" spans="1:8" s="1" customFormat="1" ht="15" x14ac:dyDescent="0.25">
      <c r="A168" s="465"/>
      <c r="B168" s="466"/>
      <c r="C168" s="466"/>
      <c r="D168" s="466"/>
      <c r="E168" s="466"/>
      <c r="F168" s="466"/>
      <c r="G168" s="466"/>
      <c r="H168" s="466"/>
    </row>
    <row r="169" spans="1:8" ht="14.25" x14ac:dyDescent="0.2">
      <c r="A169" s="262"/>
      <c r="B169" s="435"/>
      <c r="C169" s="435"/>
      <c r="D169" s="435"/>
      <c r="E169" s="435"/>
      <c r="F169" s="435"/>
      <c r="G169" s="435"/>
      <c r="H169" s="435"/>
    </row>
    <row r="170" spans="1:8" ht="14.25" x14ac:dyDescent="0.2">
      <c r="A170" s="262"/>
      <c r="B170" s="435"/>
      <c r="C170" s="435"/>
      <c r="D170" s="435"/>
      <c r="E170" s="435"/>
      <c r="F170" s="435"/>
      <c r="G170" s="435"/>
      <c r="H170" s="435"/>
    </row>
    <row r="171" spans="1:8" ht="14.25" x14ac:dyDescent="0.2">
      <c r="A171" s="262"/>
      <c r="B171" s="435"/>
      <c r="C171" s="435"/>
      <c r="D171" s="435"/>
      <c r="E171" s="435"/>
      <c r="F171" s="435"/>
      <c r="G171" s="435"/>
      <c r="H171" s="435"/>
    </row>
    <row r="172" spans="1:8" ht="14.25" x14ac:dyDescent="0.2">
      <c r="A172" s="262"/>
      <c r="B172" s="435"/>
      <c r="C172" s="435"/>
      <c r="D172" s="435"/>
      <c r="E172" s="435"/>
      <c r="F172" s="435"/>
      <c r="G172" s="435"/>
      <c r="H172" s="435"/>
    </row>
    <row r="173" spans="1:8" ht="15" x14ac:dyDescent="0.25">
      <c r="A173" s="465"/>
      <c r="B173" s="466"/>
      <c r="C173" s="466"/>
      <c r="D173" s="466"/>
      <c r="E173" s="466"/>
      <c r="F173" s="466"/>
      <c r="G173" s="466"/>
      <c r="H173" s="466"/>
    </row>
    <row r="174" spans="1:8" x14ac:dyDescent="0.2">
      <c r="B174" s="263"/>
      <c r="H174" s="263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" footer="0.51180555555555551"/>
  <pageSetup paperSize="9" scale="59" firstPageNumber="0" orientation="portrait" r:id="rId1"/>
  <headerFooter alignWithMargins="0">
    <oddHeader>&amp;LPécsely Község Önkormányzata&amp;C&amp;"Arial,Félkövér"FELHALMOZÁSI KIADÁSOK 2016. ÉV
5. melléklet a .../2017. (....) rendelethez&amp;R&amp;P. oldalezer forint</oddHeader>
  </headerFooter>
  <rowBreaks count="2" manualBreakCount="2">
    <brk id="75" max="16383" man="1"/>
    <brk id="13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T62"/>
  <sheetViews>
    <sheetView view="pageLayout" topLeftCell="A49" zoomScaleSheetLayoutView="89" workbookViewId="0">
      <selection activeCell="N16" sqref="N16:O16"/>
    </sheetView>
  </sheetViews>
  <sheetFormatPr defaultColWidth="9.140625" defaultRowHeight="12.75" x14ac:dyDescent="0.2"/>
  <cols>
    <col min="1" max="1" width="45.7109375" style="92" customWidth="1"/>
    <col min="2" max="2" width="10.7109375" style="57" bestFit="1" customWidth="1"/>
    <col min="3" max="6" width="10.5703125" style="57" bestFit="1" customWidth="1"/>
    <col min="7" max="7" width="10.5703125" style="57" customWidth="1"/>
    <col min="8" max="8" width="8.140625" style="57" bestFit="1" customWidth="1"/>
    <col min="9" max="9" width="45.85546875" style="92" customWidth="1"/>
    <col min="10" max="10" width="10.7109375" style="57" bestFit="1" customWidth="1"/>
    <col min="11" max="14" width="10.5703125" style="57" bestFit="1" customWidth="1"/>
    <col min="15" max="15" width="10.5703125" style="57" customWidth="1"/>
    <col min="16" max="16" width="8.140625" style="57" bestFit="1" customWidth="1"/>
    <col min="17" max="17" width="9.140625" style="57"/>
    <col min="18" max="18" width="10.5703125" style="57" customWidth="1"/>
    <col min="19" max="19" width="9.140625" style="57"/>
    <col min="20" max="20" width="12.28515625" style="57" customWidth="1"/>
    <col min="21" max="16384" width="9.140625" style="57"/>
  </cols>
  <sheetData>
    <row r="2" spans="1:20" x14ac:dyDescent="0.2">
      <c r="I2" s="93"/>
      <c r="J2" s="88"/>
      <c r="K2" s="88"/>
      <c r="L2" s="88"/>
      <c r="M2" s="88"/>
      <c r="N2" s="88"/>
      <c r="O2" s="88"/>
      <c r="P2" s="88"/>
    </row>
    <row r="4" spans="1:20" ht="15.75" customHeight="1" x14ac:dyDescent="0.25">
      <c r="A4" s="499" t="s">
        <v>279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</row>
    <row r="5" spans="1:20" ht="13.5" thickBot="1" x14ac:dyDescent="0.25"/>
    <row r="6" spans="1:20" s="92" customFormat="1" ht="29.25" thickBot="1" x14ac:dyDescent="0.3">
      <c r="A6" s="197" t="s">
        <v>126</v>
      </c>
      <c r="B6" s="193" t="s">
        <v>391</v>
      </c>
      <c r="C6" s="194" t="s">
        <v>392</v>
      </c>
      <c r="D6" s="430" t="s">
        <v>409</v>
      </c>
      <c r="E6" s="430" t="s">
        <v>416</v>
      </c>
      <c r="F6" s="430" t="s">
        <v>420</v>
      </c>
      <c r="G6" s="430" t="s">
        <v>424</v>
      </c>
      <c r="H6" s="193" t="s">
        <v>393</v>
      </c>
      <c r="I6" s="197" t="s">
        <v>127</v>
      </c>
      <c r="J6" s="193" t="s">
        <v>391</v>
      </c>
      <c r="K6" s="194" t="s">
        <v>392</v>
      </c>
      <c r="L6" s="430" t="s">
        <v>409</v>
      </c>
      <c r="M6" s="430" t="s">
        <v>416</v>
      </c>
      <c r="N6" s="430" t="s">
        <v>420</v>
      </c>
      <c r="O6" s="430" t="s">
        <v>424</v>
      </c>
      <c r="P6" s="193" t="s">
        <v>393</v>
      </c>
    </row>
    <row r="7" spans="1:20" ht="26.25" customHeight="1" thickBot="1" x14ac:dyDescent="0.25">
      <c r="A7" s="225" t="s">
        <v>128</v>
      </c>
      <c r="B7" s="340">
        <f>'1.sz.tábla'!B4</f>
        <v>30098</v>
      </c>
      <c r="C7" s="340">
        <f>'1.sz.tábla'!C4</f>
        <v>31401</v>
      </c>
      <c r="D7" s="340">
        <f>'1.sz.tábla'!D4</f>
        <v>31769</v>
      </c>
      <c r="E7" s="340">
        <f>'1.sz.tábla'!E4</f>
        <v>31769</v>
      </c>
      <c r="F7" s="340">
        <f>'1.sz.tábla'!F4</f>
        <v>33030</v>
      </c>
      <c r="G7" s="340">
        <f>'1.sz.tábla'!G4</f>
        <v>33030</v>
      </c>
      <c r="H7" s="340">
        <f>'1.sz.tábla'!H4</f>
        <v>0</v>
      </c>
      <c r="I7" s="249" t="s">
        <v>112</v>
      </c>
      <c r="J7" s="343">
        <f>'3.tábla'!B7</f>
        <v>13077</v>
      </c>
      <c r="K7" s="343">
        <f>'3.tábla'!C7</f>
        <v>14328</v>
      </c>
      <c r="L7" s="343">
        <f>'3.tábla'!D7</f>
        <v>14753</v>
      </c>
      <c r="M7" s="343">
        <f>'3.tábla'!E7</f>
        <v>15052</v>
      </c>
      <c r="N7" s="343">
        <f>'3.tábla'!F7</f>
        <v>14622</v>
      </c>
      <c r="O7" s="343">
        <f>'3.tábla'!G7</f>
        <v>14622</v>
      </c>
      <c r="P7" s="343">
        <f>'3.tábla'!H7</f>
        <v>0</v>
      </c>
    </row>
    <row r="8" spans="1:20" ht="15" thickBot="1" x14ac:dyDescent="0.25">
      <c r="A8" s="140" t="s">
        <v>129</v>
      </c>
      <c r="B8" s="340">
        <f>'1.sz.tábla'!B6</f>
        <v>20450</v>
      </c>
      <c r="C8" s="340">
        <f>'1.sz.tábla'!C6</f>
        <v>20450</v>
      </c>
      <c r="D8" s="340">
        <f>'1.sz.tábla'!D6</f>
        <v>20450</v>
      </c>
      <c r="E8" s="340">
        <f>'1.sz.tábla'!E6</f>
        <v>20450</v>
      </c>
      <c r="F8" s="340">
        <f>'1.sz.tábla'!F6</f>
        <v>24399</v>
      </c>
      <c r="G8" s="340">
        <f>'1.sz.tábla'!G6</f>
        <v>24429</v>
      </c>
      <c r="H8" s="340">
        <f>'1.sz.tábla'!H6</f>
        <v>30</v>
      </c>
      <c r="I8" s="142" t="s">
        <v>130</v>
      </c>
      <c r="J8" s="343">
        <f>'3.tábla'!B8</f>
        <v>2907</v>
      </c>
      <c r="K8" s="343">
        <f>'3.tábla'!C8</f>
        <v>3062</v>
      </c>
      <c r="L8" s="343">
        <f>'3.tábla'!D8</f>
        <v>3155</v>
      </c>
      <c r="M8" s="343">
        <f>'3.tábla'!E8</f>
        <v>3236</v>
      </c>
      <c r="N8" s="343">
        <f>'3.tábla'!F8</f>
        <v>3666</v>
      </c>
      <c r="O8" s="343">
        <f>'3.tábla'!G8</f>
        <v>3666</v>
      </c>
      <c r="P8" s="343">
        <f>'3.tábla'!H8</f>
        <v>0</v>
      </c>
    </row>
    <row r="9" spans="1:20" ht="15.75" thickBot="1" x14ac:dyDescent="0.25">
      <c r="A9" s="141" t="s">
        <v>131</v>
      </c>
      <c r="B9" s="340">
        <f>'1.sz.tábla'!B7</f>
        <v>6600</v>
      </c>
      <c r="C9" s="340">
        <f>'1.sz.tábla'!C7</f>
        <v>6600</v>
      </c>
      <c r="D9" s="340">
        <f>'1.sz.tábla'!D7</f>
        <v>8200</v>
      </c>
      <c r="E9" s="340">
        <f>'1.sz.tábla'!E7</f>
        <v>8200</v>
      </c>
      <c r="F9" s="340">
        <f>'1.sz.tábla'!F7</f>
        <v>9497</v>
      </c>
      <c r="G9" s="340">
        <f>'1.sz.tábla'!G7</f>
        <v>9722</v>
      </c>
      <c r="H9" s="340">
        <f>'1.sz.tábla'!H7</f>
        <v>225</v>
      </c>
      <c r="I9" s="142" t="s">
        <v>132</v>
      </c>
      <c r="J9" s="343">
        <f>'3.tábla'!B9</f>
        <v>28980</v>
      </c>
      <c r="K9" s="343">
        <f>'3.tábla'!C9</f>
        <v>28844</v>
      </c>
      <c r="L9" s="343">
        <f>'3.tábla'!D9</f>
        <v>29408</v>
      </c>
      <c r="M9" s="343">
        <f>'3.tábla'!E9</f>
        <v>29408</v>
      </c>
      <c r="N9" s="343">
        <f>'3.tábla'!F9</f>
        <v>29408</v>
      </c>
      <c r="O9" s="343">
        <f>'3.tábla'!G9</f>
        <v>29408</v>
      </c>
      <c r="P9" s="343">
        <f>'3.tábla'!H9</f>
        <v>0</v>
      </c>
      <c r="Q9" s="57" t="e">
        <f>SUM(#REF!)</f>
        <v>#REF!</v>
      </c>
      <c r="R9" s="8"/>
      <c r="S9" s="9"/>
      <c r="T9" s="9"/>
    </row>
    <row r="10" spans="1:20" ht="29.25" thickBot="1" x14ac:dyDescent="0.25">
      <c r="A10" s="140" t="s">
        <v>133</v>
      </c>
      <c r="B10" s="340">
        <f>'1.sz.tábla'!B9</f>
        <v>0</v>
      </c>
      <c r="C10" s="340">
        <f>'1.sz.tábla'!C9</f>
        <v>0</v>
      </c>
      <c r="D10" s="340">
        <f>'1.sz.tábla'!D9</f>
        <v>0</v>
      </c>
      <c r="E10" s="340">
        <f>'1.sz.tábla'!E9</f>
        <v>0</v>
      </c>
      <c r="F10" s="340">
        <f>'1.sz.tábla'!F9</f>
        <v>20</v>
      </c>
      <c r="G10" s="340">
        <f>'1.sz.tábla'!G9</f>
        <v>20</v>
      </c>
      <c r="H10" s="340">
        <f>'1.sz.tábla'!H9</f>
        <v>0</v>
      </c>
      <c r="I10" s="141" t="s">
        <v>113</v>
      </c>
      <c r="J10" s="343">
        <f>'3.tábla'!B48</f>
        <v>1865</v>
      </c>
      <c r="K10" s="343">
        <f>'3.tábla'!C48</f>
        <v>1865</v>
      </c>
      <c r="L10" s="343">
        <f>'3.tábla'!D48</f>
        <v>1865</v>
      </c>
      <c r="M10" s="343">
        <f>'3.tábla'!E48</f>
        <v>1865</v>
      </c>
      <c r="N10" s="343">
        <f>'3.tábla'!F48</f>
        <v>4642</v>
      </c>
      <c r="O10" s="343">
        <f>'3.tábla'!G48</f>
        <v>4642</v>
      </c>
      <c r="P10" s="343">
        <f>'3.tábla'!H48</f>
        <v>0</v>
      </c>
    </row>
    <row r="11" spans="1:20" ht="15" thickBot="1" x14ac:dyDescent="0.25">
      <c r="A11" s="142"/>
      <c r="B11" s="139"/>
      <c r="C11" s="58"/>
      <c r="D11" s="437"/>
      <c r="E11" s="437"/>
      <c r="F11" s="437"/>
      <c r="G11" s="437"/>
      <c r="H11" s="158"/>
      <c r="I11" s="142" t="s">
        <v>111</v>
      </c>
      <c r="J11" s="343">
        <f>'3.tábla'!B34</f>
        <v>9334</v>
      </c>
      <c r="K11" s="345">
        <f>'3.tábla'!C34</f>
        <v>9471</v>
      </c>
      <c r="L11" s="345">
        <f>'3.tábla'!D34</f>
        <v>9480</v>
      </c>
      <c r="M11" s="345">
        <f>'3.tábla'!E34</f>
        <v>10112</v>
      </c>
      <c r="N11" s="345">
        <f>'3.tábla'!F34</f>
        <v>10112</v>
      </c>
      <c r="O11" s="345">
        <f>'3.tábla'!G34</f>
        <v>10112</v>
      </c>
      <c r="P11" s="345">
        <f>'3.tábla'!H34</f>
        <v>0</v>
      </c>
      <c r="Q11" s="57" t="e">
        <f>SUM(#REF!)</f>
        <v>#REF!</v>
      </c>
    </row>
    <row r="12" spans="1:20" ht="15" thickBot="1" x14ac:dyDescent="0.25">
      <c r="A12" s="142"/>
      <c r="B12" s="139"/>
      <c r="C12" s="58"/>
      <c r="D12" s="437"/>
      <c r="E12" s="437"/>
      <c r="F12" s="437"/>
      <c r="G12" s="437"/>
      <c r="H12" s="158"/>
      <c r="I12" s="142" t="s">
        <v>258</v>
      </c>
      <c r="J12" s="343">
        <f>'3.tábla'!B33</f>
        <v>0</v>
      </c>
      <c r="K12" s="343">
        <f>'3.tábla'!C33</f>
        <v>72</v>
      </c>
      <c r="L12" s="343">
        <f>'3.tábla'!D33</f>
        <v>72</v>
      </c>
      <c r="M12" s="343">
        <f>'3.tábla'!E33</f>
        <v>72</v>
      </c>
      <c r="N12" s="343">
        <f>'3.tábla'!F33</f>
        <v>72</v>
      </c>
      <c r="O12" s="343">
        <f>'3.tábla'!G33</f>
        <v>72</v>
      </c>
      <c r="P12" s="343">
        <f>'3.tábla'!H33</f>
        <v>0</v>
      </c>
    </row>
    <row r="13" spans="1:20" ht="29.25" thickBot="1" x14ac:dyDescent="0.25">
      <c r="A13" s="140"/>
      <c r="B13" s="139"/>
      <c r="C13" s="58"/>
      <c r="D13" s="437"/>
      <c r="E13" s="437"/>
      <c r="F13" s="437"/>
      <c r="G13" s="437"/>
      <c r="H13" s="158"/>
      <c r="I13" s="142" t="s">
        <v>259</v>
      </c>
      <c r="J13" s="343">
        <f>'3.tábla'!B31</f>
        <v>8699</v>
      </c>
      <c r="K13" s="343">
        <f>'3.tábla'!C31</f>
        <v>8764</v>
      </c>
      <c r="L13" s="343">
        <f>'3.tábla'!D31</f>
        <v>8764</v>
      </c>
      <c r="M13" s="343">
        <f>'3.tábla'!E31</f>
        <v>9396</v>
      </c>
      <c r="N13" s="343">
        <f>'3.tábla'!F31</f>
        <v>9396</v>
      </c>
      <c r="O13" s="343">
        <f>'3.tábla'!G31</f>
        <v>9396</v>
      </c>
      <c r="P13" s="343">
        <f>'3.tábla'!H31</f>
        <v>0</v>
      </c>
      <c r="Q13" s="57" t="e">
        <f>SUM(#REF!)</f>
        <v>#REF!</v>
      </c>
    </row>
    <row r="14" spans="1:20" ht="29.25" thickBot="1" x14ac:dyDescent="0.25">
      <c r="A14" s="144"/>
      <c r="B14" s="139"/>
      <c r="C14" s="58"/>
      <c r="D14" s="437"/>
      <c r="E14" s="437"/>
      <c r="F14" s="437"/>
      <c r="G14" s="437"/>
      <c r="H14" s="158"/>
      <c r="I14" s="250" t="s">
        <v>260</v>
      </c>
      <c r="J14" s="343">
        <f>'3.tábla'!B32</f>
        <v>635</v>
      </c>
      <c r="K14" s="343">
        <f>'3.tábla'!C32</f>
        <v>635</v>
      </c>
      <c r="L14" s="343">
        <f>'3.tábla'!D32</f>
        <v>644</v>
      </c>
      <c r="M14" s="343">
        <f>'3.tábla'!E32</f>
        <v>644</v>
      </c>
      <c r="N14" s="343">
        <f>'3.tábla'!F32</f>
        <v>644</v>
      </c>
      <c r="O14" s="343">
        <f>'3.tábla'!G32</f>
        <v>644</v>
      </c>
      <c r="P14" s="343">
        <f>'3.tábla'!H32</f>
        <v>0</v>
      </c>
    </row>
    <row r="15" spans="1:20" ht="29.25" thickBot="1" x14ac:dyDescent="0.25">
      <c r="A15" s="140"/>
      <c r="B15" s="139"/>
      <c r="C15" s="58"/>
      <c r="D15" s="437"/>
      <c r="E15" s="437"/>
      <c r="F15" s="437"/>
      <c r="G15" s="437"/>
      <c r="H15" s="158"/>
      <c r="I15" s="142" t="s">
        <v>261</v>
      </c>
      <c r="J15" s="343">
        <f>'3.tábla'!B38</f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158">
        <v>0</v>
      </c>
    </row>
    <row r="16" spans="1:20" ht="14.25" x14ac:dyDescent="0.2">
      <c r="A16" s="142"/>
      <c r="B16" s="139"/>
      <c r="C16" s="58"/>
      <c r="D16" s="437"/>
      <c r="E16" s="437"/>
      <c r="F16" s="437"/>
      <c r="G16" s="437"/>
      <c r="H16" s="158"/>
      <c r="I16" s="251" t="s">
        <v>253</v>
      </c>
      <c r="J16" s="343">
        <f>'1.sz.tábla'!B28</f>
        <v>18507</v>
      </c>
      <c r="K16" s="343">
        <f>'1.sz.tábla'!C28</f>
        <v>14374</v>
      </c>
      <c r="L16" s="343">
        <f>'1.sz.tábla'!D28</f>
        <v>15324</v>
      </c>
      <c r="M16" s="343">
        <f>'1.sz.tábla'!E28</f>
        <v>10422</v>
      </c>
      <c r="N16" s="343">
        <f>'1.sz.tábla'!F28</f>
        <v>9172</v>
      </c>
      <c r="O16" s="343">
        <f>'1.sz.tábla'!G28</f>
        <v>10129</v>
      </c>
      <c r="P16" s="343">
        <f>'1.sz.tábla'!H28</f>
        <v>957</v>
      </c>
    </row>
    <row r="17" spans="1:16" s="2" customFormat="1" ht="15" x14ac:dyDescent="0.25">
      <c r="A17" s="147" t="s">
        <v>134</v>
      </c>
      <c r="B17" s="148">
        <f t="shared" ref="B17:H17" si="0">SUM(B7:B16)</f>
        <v>57148</v>
      </c>
      <c r="C17" s="59">
        <f t="shared" si="0"/>
        <v>58451</v>
      </c>
      <c r="D17" s="59">
        <f t="shared" si="0"/>
        <v>60419</v>
      </c>
      <c r="E17" s="59">
        <f t="shared" si="0"/>
        <v>60419</v>
      </c>
      <c r="F17" s="59">
        <f t="shared" si="0"/>
        <v>66946</v>
      </c>
      <c r="G17" s="59">
        <f t="shared" si="0"/>
        <v>67201</v>
      </c>
      <c r="H17" s="59">
        <f t="shared" si="0"/>
        <v>255</v>
      </c>
      <c r="I17" s="252" t="s">
        <v>135</v>
      </c>
      <c r="J17" s="59">
        <f t="shared" ref="J17:P17" si="1">J7+J8+J9+J10+J11+J16</f>
        <v>74670</v>
      </c>
      <c r="K17" s="59">
        <f t="shared" si="1"/>
        <v>71944</v>
      </c>
      <c r="L17" s="59">
        <f t="shared" si="1"/>
        <v>73985</v>
      </c>
      <c r="M17" s="59">
        <f t="shared" si="1"/>
        <v>70095</v>
      </c>
      <c r="N17" s="59">
        <f t="shared" si="1"/>
        <v>71622</v>
      </c>
      <c r="O17" s="59">
        <f t="shared" si="1"/>
        <v>72579</v>
      </c>
      <c r="P17" s="59">
        <f t="shared" si="1"/>
        <v>957</v>
      </c>
    </row>
    <row r="18" spans="1:16" s="2" customFormat="1" ht="15" x14ac:dyDescent="0.25">
      <c r="A18" s="147" t="s">
        <v>136</v>
      </c>
      <c r="B18" s="148">
        <f>B17-J17</f>
        <v>-17522</v>
      </c>
      <c r="C18" s="59">
        <f>C17-K17</f>
        <v>-13493</v>
      </c>
      <c r="D18" s="59">
        <f>D17-L17</f>
        <v>-13566</v>
      </c>
      <c r="E18" s="59">
        <f>E17-M17</f>
        <v>-9676</v>
      </c>
      <c r="F18" s="59">
        <f>F17-N17</f>
        <v>-4676</v>
      </c>
      <c r="G18" s="59">
        <f>G17-O17</f>
        <v>-5378</v>
      </c>
      <c r="H18" s="59">
        <f t="shared" ref="H18" si="2">H17-P17</f>
        <v>-702</v>
      </c>
      <c r="I18" s="147" t="s">
        <v>137</v>
      </c>
      <c r="J18" s="11"/>
      <c r="K18" s="59"/>
      <c r="L18" s="439"/>
      <c r="M18" s="439"/>
      <c r="N18" s="439"/>
      <c r="O18" s="439"/>
      <c r="P18" s="149"/>
    </row>
    <row r="19" spans="1:16" s="2" customFormat="1" ht="30" x14ac:dyDescent="0.25">
      <c r="A19" s="151" t="s">
        <v>138</v>
      </c>
      <c r="B19" s="150">
        <f t="shared" ref="B19:H19" si="3">SUM(B20)</f>
        <v>5000</v>
      </c>
      <c r="C19" s="59">
        <f t="shared" si="3"/>
        <v>5000</v>
      </c>
      <c r="D19" s="59">
        <f t="shared" si="3"/>
        <v>5474</v>
      </c>
      <c r="E19" s="59">
        <f t="shared" si="3"/>
        <v>5474</v>
      </c>
      <c r="F19" s="59">
        <f t="shared" si="3"/>
        <v>5474</v>
      </c>
      <c r="G19" s="59">
        <f t="shared" si="3"/>
        <v>5474</v>
      </c>
      <c r="H19" s="59">
        <f t="shared" si="3"/>
        <v>0</v>
      </c>
      <c r="I19" s="147" t="s">
        <v>139</v>
      </c>
      <c r="J19" s="10">
        <f>SUM(J20:J20)</f>
        <v>1377</v>
      </c>
      <c r="K19" s="59">
        <f>SUM(K20:K21)</f>
        <v>1796</v>
      </c>
      <c r="L19" s="59">
        <f>SUM(L20:L21)</f>
        <v>1796</v>
      </c>
      <c r="M19" s="59">
        <f>SUM(M20:M21)</f>
        <v>1796</v>
      </c>
      <c r="N19" s="59">
        <f>SUM(N20:N21)</f>
        <v>1796</v>
      </c>
      <c r="O19" s="59">
        <f>SUM(O20:O21)</f>
        <v>1796</v>
      </c>
      <c r="P19" s="59">
        <f>SUM(P20:P21)</f>
        <v>0</v>
      </c>
    </row>
    <row r="20" spans="1:16" ht="28.5" x14ac:dyDescent="0.2">
      <c r="A20" s="142" t="s">
        <v>140</v>
      </c>
      <c r="B20" s="341">
        <f>'2.sz.tábla'!B79</f>
        <v>5000</v>
      </c>
      <c r="C20" s="341">
        <f>'2.sz.tábla'!C79</f>
        <v>5000</v>
      </c>
      <c r="D20" s="341">
        <f>'2.sz.tábla'!D79</f>
        <v>5474</v>
      </c>
      <c r="E20" s="341">
        <f>'2.sz.tábla'!E79</f>
        <v>5474</v>
      </c>
      <c r="F20" s="341">
        <f>'2.sz.tábla'!F79</f>
        <v>5474</v>
      </c>
      <c r="G20" s="341">
        <f>'2.sz.tábla'!G79</f>
        <v>5474</v>
      </c>
      <c r="H20" s="341">
        <f>'2.sz.tábla'!H79</f>
        <v>0</v>
      </c>
      <c r="I20" s="142" t="s">
        <v>263</v>
      </c>
      <c r="J20" s="344">
        <f>'1.sz.tábla'!B33</f>
        <v>1377</v>
      </c>
      <c r="K20" s="344">
        <f>'1.sz.tábla'!C33</f>
        <v>1796</v>
      </c>
      <c r="L20" s="344">
        <f>'1.sz.tábla'!D33</f>
        <v>1796</v>
      </c>
      <c r="M20" s="344">
        <f>'1.sz.tábla'!E33</f>
        <v>1796</v>
      </c>
      <c r="N20" s="344">
        <f>'1.sz.tábla'!F33</f>
        <v>1796</v>
      </c>
      <c r="O20" s="344">
        <f>'1.sz.tábla'!G33</f>
        <v>1796</v>
      </c>
      <c r="P20" s="344">
        <f>'1.sz.tábla'!H33</f>
        <v>0</v>
      </c>
    </row>
    <row r="21" spans="1:16" s="2" customFormat="1" ht="30" x14ac:dyDescent="0.25">
      <c r="A21" s="147" t="s">
        <v>141</v>
      </c>
      <c r="B21" s="226">
        <f t="shared" ref="B21:H21" si="4">SUM(B22:B25)</f>
        <v>25380</v>
      </c>
      <c r="C21" s="226">
        <f t="shared" si="4"/>
        <v>25799</v>
      </c>
      <c r="D21" s="226">
        <f t="shared" si="4"/>
        <v>25799</v>
      </c>
      <c r="E21" s="226">
        <f t="shared" si="4"/>
        <v>25799</v>
      </c>
      <c r="F21" s="226">
        <f t="shared" si="4"/>
        <v>25799</v>
      </c>
      <c r="G21" s="226">
        <f t="shared" si="4"/>
        <v>26501</v>
      </c>
      <c r="H21" s="226">
        <f t="shared" si="4"/>
        <v>702</v>
      </c>
      <c r="I21" s="142" t="s">
        <v>264</v>
      </c>
      <c r="J21" s="11"/>
      <c r="K21" s="59"/>
      <c r="L21" s="439"/>
      <c r="M21" s="439"/>
      <c r="N21" s="439"/>
      <c r="O21" s="439"/>
      <c r="P21" s="158"/>
    </row>
    <row r="22" spans="1:16" ht="15" x14ac:dyDescent="0.25">
      <c r="A22" s="152" t="s">
        <v>142</v>
      </c>
      <c r="B22" s="139"/>
      <c r="C22" s="58"/>
      <c r="D22" s="437"/>
      <c r="E22" s="437"/>
      <c r="F22" s="437"/>
      <c r="G22" s="437"/>
      <c r="H22" s="158"/>
      <c r="I22" s="142" t="s">
        <v>265</v>
      </c>
      <c r="J22" s="11"/>
      <c r="K22" s="59"/>
      <c r="L22" s="439"/>
      <c r="M22" s="439"/>
      <c r="N22" s="439"/>
      <c r="O22" s="439"/>
      <c r="P22" s="158"/>
    </row>
    <row r="23" spans="1:16" ht="14.25" x14ac:dyDescent="0.2">
      <c r="A23" s="142" t="s">
        <v>143</v>
      </c>
      <c r="B23" s="260"/>
      <c r="C23" s="58"/>
      <c r="D23" s="437"/>
      <c r="E23" s="437"/>
      <c r="F23" s="437"/>
      <c r="G23" s="437"/>
      <c r="H23" s="158"/>
      <c r="I23" s="250"/>
      <c r="J23" s="213"/>
      <c r="K23" s="153"/>
      <c r="L23" s="440"/>
      <c r="M23" s="440"/>
      <c r="N23" s="440"/>
      <c r="O23" s="440"/>
      <c r="P23" s="158"/>
    </row>
    <row r="24" spans="1:16" ht="14.25" x14ac:dyDescent="0.2">
      <c r="A24" s="152" t="s">
        <v>342</v>
      </c>
      <c r="B24" s="342">
        <f>'2.sz.tábla'!B92</f>
        <v>380</v>
      </c>
      <c r="C24" s="342">
        <f>'2.sz.tábla'!C92</f>
        <v>799</v>
      </c>
      <c r="D24" s="342">
        <f>'2.sz.tábla'!D92</f>
        <v>799</v>
      </c>
      <c r="E24" s="342">
        <f>'2.sz.tábla'!E92</f>
        <v>799</v>
      </c>
      <c r="F24" s="342">
        <f>'2.sz.tábla'!F92</f>
        <v>799</v>
      </c>
      <c r="G24" s="342">
        <f>'2.sz.tábla'!G92</f>
        <v>1501</v>
      </c>
      <c r="H24" s="342">
        <f>'2.sz.tábla'!H92</f>
        <v>702</v>
      </c>
      <c r="I24" s="257"/>
      <c r="J24" s="258"/>
      <c r="K24" s="259"/>
      <c r="L24" s="441"/>
      <c r="M24" s="441"/>
      <c r="N24" s="441"/>
      <c r="O24" s="441"/>
      <c r="P24" s="256"/>
    </row>
    <row r="25" spans="1:16" ht="14.25" x14ac:dyDescent="0.2">
      <c r="A25" s="152" t="s">
        <v>389</v>
      </c>
      <c r="B25" s="342">
        <f>'2.sz.tábla'!B91</f>
        <v>25000</v>
      </c>
      <c r="C25" s="342">
        <f>'2.sz.tábla'!C91</f>
        <v>25000</v>
      </c>
      <c r="D25" s="342">
        <f>'2.sz.tábla'!D91</f>
        <v>25000</v>
      </c>
      <c r="E25" s="342">
        <f>'2.sz.tábla'!E91</f>
        <v>25000</v>
      </c>
      <c r="F25" s="342">
        <f>'2.sz.tábla'!F91</f>
        <v>25000</v>
      </c>
      <c r="G25" s="342">
        <f>'2.sz.tábla'!G91</f>
        <v>25000</v>
      </c>
      <c r="H25" s="342">
        <f>'2.sz.tábla'!H91</f>
        <v>0</v>
      </c>
      <c r="I25" s="257"/>
      <c r="J25" s="258"/>
      <c r="K25" s="259"/>
      <c r="L25" s="441"/>
      <c r="M25" s="441"/>
      <c r="N25" s="441"/>
      <c r="O25" s="441"/>
      <c r="P25" s="420"/>
    </row>
    <row r="26" spans="1:16" ht="15.75" thickBot="1" x14ac:dyDescent="0.3">
      <c r="A26" s="154" t="s">
        <v>144</v>
      </c>
      <c r="B26" s="156">
        <f t="shared" ref="B26:H26" si="5">B17+B19+B21</f>
        <v>87528</v>
      </c>
      <c r="C26" s="218">
        <f t="shared" si="5"/>
        <v>89250</v>
      </c>
      <c r="D26" s="218">
        <f t="shared" si="5"/>
        <v>91692</v>
      </c>
      <c r="E26" s="218">
        <f t="shared" si="5"/>
        <v>91692</v>
      </c>
      <c r="F26" s="218">
        <f t="shared" si="5"/>
        <v>98219</v>
      </c>
      <c r="G26" s="218">
        <f t="shared" si="5"/>
        <v>99176</v>
      </c>
      <c r="H26" s="218">
        <f t="shared" si="5"/>
        <v>957</v>
      </c>
      <c r="I26" s="154" t="s">
        <v>145</v>
      </c>
      <c r="J26" s="155">
        <f>J17+J19</f>
        <v>76047</v>
      </c>
      <c r="K26" s="218">
        <f>K19+K17</f>
        <v>73740</v>
      </c>
      <c r="L26" s="218">
        <f>L19+L17</f>
        <v>75781</v>
      </c>
      <c r="M26" s="218">
        <f>M19+M17</f>
        <v>71891</v>
      </c>
      <c r="N26" s="218">
        <f>N19+N17</f>
        <v>73418</v>
      </c>
      <c r="O26" s="218">
        <f>O19+O17</f>
        <v>74375</v>
      </c>
      <c r="P26" s="218">
        <f>P19+P17</f>
        <v>957</v>
      </c>
    </row>
    <row r="27" spans="1:16" ht="15.75" thickBot="1" x14ac:dyDescent="0.3">
      <c r="L27" s="218">
        <f>L20+L18</f>
        <v>1796</v>
      </c>
    </row>
    <row r="28" spans="1:16" ht="15.75" customHeight="1" x14ac:dyDescent="0.25">
      <c r="A28" s="499" t="s">
        <v>281</v>
      </c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</row>
    <row r="29" spans="1:16" ht="13.5" thickBot="1" x14ac:dyDescent="0.25"/>
    <row r="30" spans="1:16" s="92" customFormat="1" ht="29.25" thickBot="1" x14ac:dyDescent="0.3">
      <c r="A30" s="197" t="s">
        <v>146</v>
      </c>
      <c r="B30" s="193" t="s">
        <v>391</v>
      </c>
      <c r="C30" s="194" t="s">
        <v>392</v>
      </c>
      <c r="D30" s="430" t="s">
        <v>409</v>
      </c>
      <c r="E30" s="430" t="s">
        <v>416</v>
      </c>
      <c r="F30" s="430" t="s">
        <v>420</v>
      </c>
      <c r="G30" s="430" t="s">
        <v>424</v>
      </c>
      <c r="H30" s="193" t="s">
        <v>393</v>
      </c>
      <c r="I30" s="197" t="s">
        <v>147</v>
      </c>
      <c r="J30" s="193" t="s">
        <v>391</v>
      </c>
      <c r="K30" s="194" t="s">
        <v>392</v>
      </c>
      <c r="L30" s="430" t="s">
        <v>409</v>
      </c>
      <c r="M30" s="430" t="s">
        <v>416</v>
      </c>
      <c r="N30" s="430" t="s">
        <v>420</v>
      </c>
      <c r="O30" s="430" t="s">
        <v>424</v>
      </c>
      <c r="P30" s="193" t="s">
        <v>393</v>
      </c>
    </row>
    <row r="31" spans="1:16" ht="28.5" x14ac:dyDescent="0.2">
      <c r="A31" s="253" t="s">
        <v>148</v>
      </c>
      <c r="B31" s="346">
        <f>'1.sz.tábla'!B5</f>
        <v>0</v>
      </c>
      <c r="C31" s="346">
        <f>'1.sz.tábla'!C5</f>
        <v>0</v>
      </c>
      <c r="D31" s="346">
        <f>'1.sz.tábla'!D5</f>
        <v>12750</v>
      </c>
      <c r="E31" s="346">
        <f>'1.sz.tábla'!E5</f>
        <v>12750</v>
      </c>
      <c r="F31" s="346">
        <f>'1.sz.tábla'!F5</f>
        <v>22516</v>
      </c>
      <c r="G31" s="346">
        <f>'1.sz.tábla'!G5</f>
        <v>22516</v>
      </c>
      <c r="H31" s="346">
        <f>'1.sz.tábla'!H5</f>
        <v>0</v>
      </c>
      <c r="I31" s="146" t="s">
        <v>149</v>
      </c>
      <c r="J31" s="347">
        <f>'1.sz.tábla'!B25</f>
        <v>4200</v>
      </c>
      <c r="K31" s="347">
        <f>'1.sz.tábla'!C25</f>
        <v>5254</v>
      </c>
      <c r="L31" s="347">
        <f>'1.sz.tábla'!D25</f>
        <v>5254</v>
      </c>
      <c r="M31" s="347">
        <f>'1.sz.tábla'!E25</f>
        <v>5254</v>
      </c>
      <c r="N31" s="347">
        <f>'1.sz.tábla'!F25</f>
        <v>5254</v>
      </c>
      <c r="O31" s="347">
        <f>'1.sz.tábla'!G25</f>
        <v>5254</v>
      </c>
      <c r="P31" s="347">
        <f>'1.sz.tábla'!H25</f>
        <v>0</v>
      </c>
    </row>
    <row r="32" spans="1:16" ht="14.25" x14ac:dyDescent="0.2">
      <c r="A32" s="142" t="s">
        <v>150</v>
      </c>
      <c r="B32" s="163">
        <f>'1.sz.tábla'!B8</f>
        <v>5000</v>
      </c>
      <c r="C32" s="163">
        <f>'1.sz.tábla'!C8</f>
        <v>5000</v>
      </c>
      <c r="D32" s="163">
        <f>'1.sz.tábla'!D8</f>
        <v>5000</v>
      </c>
      <c r="E32" s="163">
        <f>'1.sz.tábla'!E8</f>
        <v>5000</v>
      </c>
      <c r="F32" s="163">
        <f>'1.sz.tábla'!F8</f>
        <v>0</v>
      </c>
      <c r="G32" s="163">
        <f>'1.sz.tábla'!G8</f>
        <v>0</v>
      </c>
      <c r="H32" s="163">
        <f>'1.sz.tábla'!H8</f>
        <v>0</v>
      </c>
      <c r="I32" s="227" t="s">
        <v>151</v>
      </c>
      <c r="J32" s="216">
        <v>0</v>
      </c>
      <c r="K32" s="215">
        <v>0</v>
      </c>
      <c r="L32" s="215">
        <v>0</v>
      </c>
      <c r="M32" s="215">
        <v>0</v>
      </c>
      <c r="N32" s="215">
        <v>0</v>
      </c>
      <c r="O32" s="215">
        <v>0</v>
      </c>
      <c r="P32" s="158">
        <v>0</v>
      </c>
    </row>
    <row r="33" spans="1:16" ht="14.25" x14ac:dyDescent="0.2">
      <c r="A33" s="142" t="s">
        <v>152</v>
      </c>
      <c r="B33" s="163">
        <f>'1.sz.tábla'!B10</f>
        <v>0</v>
      </c>
      <c r="C33" s="163">
        <f>'1.sz.tábla'!C10</f>
        <v>0</v>
      </c>
      <c r="D33" s="163">
        <f>'1.sz.tábla'!D10</f>
        <v>1915</v>
      </c>
      <c r="E33" s="163">
        <f>'1.sz.tábla'!E10</f>
        <v>1915</v>
      </c>
      <c r="F33" s="163">
        <f>'1.sz.tábla'!F10</f>
        <v>1915</v>
      </c>
      <c r="G33" s="163">
        <f>'1.sz.tábla'!G10</f>
        <v>1915</v>
      </c>
      <c r="H33" s="163">
        <f>'1.sz.tábla'!H10</f>
        <v>0</v>
      </c>
      <c r="I33" s="227" t="s">
        <v>153</v>
      </c>
      <c r="J33" s="220">
        <f>'1.sz.tábla'!B26</f>
        <v>12281</v>
      </c>
      <c r="K33" s="220">
        <f>'1.sz.tábla'!C26</f>
        <v>15185</v>
      </c>
      <c r="L33" s="220">
        <f>'1.sz.tábla'!D26</f>
        <v>30251</v>
      </c>
      <c r="M33" s="220">
        <f>'1.sz.tábla'!E26</f>
        <v>34141</v>
      </c>
      <c r="N33" s="220">
        <f>'1.sz.tábla'!F26</f>
        <v>43907</v>
      </c>
      <c r="O33" s="220">
        <f>'1.sz.tábla'!G26</f>
        <v>43907</v>
      </c>
      <c r="P33" s="220">
        <f>'1.sz.tábla'!H26</f>
        <v>0</v>
      </c>
    </row>
    <row r="34" spans="1:16" ht="14.25" x14ac:dyDescent="0.2">
      <c r="A34" s="142"/>
      <c r="B34" s="158"/>
      <c r="C34" s="58"/>
      <c r="D34" s="437"/>
      <c r="E34" s="437"/>
      <c r="F34" s="437"/>
      <c r="G34" s="437"/>
      <c r="H34" s="158"/>
      <c r="I34" s="227" t="s">
        <v>154</v>
      </c>
      <c r="J34" s="201">
        <f>SUM(J35:J38)</f>
        <v>0</v>
      </c>
      <c r="K34" s="201">
        <f t="shared" ref="K34:P34" si="6">SUM(K35:K38)</f>
        <v>71</v>
      </c>
      <c r="L34" s="201">
        <f t="shared" si="6"/>
        <v>71</v>
      </c>
      <c r="M34" s="201">
        <f t="shared" si="6"/>
        <v>71</v>
      </c>
      <c r="N34" s="201">
        <f t="shared" si="6"/>
        <v>71</v>
      </c>
      <c r="O34" s="201">
        <f t="shared" si="6"/>
        <v>71</v>
      </c>
      <c r="P34" s="201">
        <f t="shared" si="6"/>
        <v>0</v>
      </c>
    </row>
    <row r="35" spans="1:16" ht="28.5" x14ac:dyDescent="0.2">
      <c r="A35" s="142"/>
      <c r="B35" s="159"/>
      <c r="C35" s="215"/>
      <c r="D35" s="438"/>
      <c r="E35" s="438"/>
      <c r="F35" s="438"/>
      <c r="G35" s="438"/>
      <c r="H35" s="158"/>
      <c r="I35" s="227" t="s">
        <v>155</v>
      </c>
      <c r="J35" s="216"/>
      <c r="K35" s="215"/>
      <c r="L35" s="438"/>
      <c r="M35" s="438"/>
      <c r="N35" s="438"/>
      <c r="O35" s="438"/>
      <c r="P35" s="158"/>
    </row>
    <row r="36" spans="1:16" ht="27" customHeight="1" x14ac:dyDescent="0.2">
      <c r="A36" s="142"/>
      <c r="B36" s="159"/>
      <c r="C36" s="215"/>
      <c r="D36" s="438"/>
      <c r="E36" s="438"/>
      <c r="F36" s="438"/>
      <c r="G36" s="438"/>
      <c r="H36" s="158"/>
      <c r="I36" s="228" t="s">
        <v>156</v>
      </c>
      <c r="J36" s="426">
        <f>'5.sz.tábla '!B43</f>
        <v>0</v>
      </c>
      <c r="K36" s="426">
        <f>'5.sz.tábla '!C43</f>
        <v>71</v>
      </c>
      <c r="L36" s="426">
        <f>'5.sz.tábla '!D43</f>
        <v>71</v>
      </c>
      <c r="M36" s="426">
        <f>'5.sz.tábla '!E43</f>
        <v>71</v>
      </c>
      <c r="N36" s="426">
        <f>'5.sz.tábla '!F43</f>
        <v>71</v>
      </c>
      <c r="O36" s="426">
        <f>'5.sz.tábla '!G43</f>
        <v>71</v>
      </c>
      <c r="P36" s="426">
        <f>'5.sz.tábla '!H43</f>
        <v>0</v>
      </c>
    </row>
    <row r="37" spans="1:16" ht="28.5" x14ac:dyDescent="0.2">
      <c r="A37" s="142"/>
      <c r="B37" s="158"/>
      <c r="C37" s="58"/>
      <c r="D37" s="437"/>
      <c r="E37" s="437"/>
      <c r="F37" s="437"/>
      <c r="G37" s="437"/>
      <c r="H37" s="158"/>
      <c r="I37" s="227" t="s">
        <v>266</v>
      </c>
      <c r="J37" s="201"/>
      <c r="K37" s="58"/>
      <c r="L37" s="437"/>
      <c r="M37" s="437"/>
      <c r="N37" s="437"/>
      <c r="O37" s="437"/>
      <c r="P37" s="158"/>
    </row>
    <row r="38" spans="1:16" ht="28.5" x14ac:dyDescent="0.2">
      <c r="A38" s="142"/>
      <c r="B38" s="158"/>
      <c r="C38" s="58"/>
      <c r="D38" s="437"/>
      <c r="E38" s="437"/>
      <c r="F38" s="437"/>
      <c r="G38" s="437"/>
      <c r="H38" s="158"/>
      <c r="I38" s="227" t="s">
        <v>157</v>
      </c>
      <c r="J38" s="201"/>
      <c r="K38" s="58"/>
      <c r="L38" s="437"/>
      <c r="M38" s="437"/>
      <c r="N38" s="437"/>
      <c r="O38" s="437"/>
      <c r="P38" s="158"/>
    </row>
    <row r="39" spans="1:16" s="2" customFormat="1" ht="30" x14ac:dyDescent="0.25">
      <c r="A39" s="147" t="s">
        <v>158</v>
      </c>
      <c r="B39" s="149">
        <f t="shared" ref="B39:H39" si="7">SUM(B31:B37)</f>
        <v>5000</v>
      </c>
      <c r="C39" s="59">
        <f t="shared" si="7"/>
        <v>5000</v>
      </c>
      <c r="D39" s="59">
        <f t="shared" si="7"/>
        <v>19665</v>
      </c>
      <c r="E39" s="59">
        <f t="shared" si="7"/>
        <v>19665</v>
      </c>
      <c r="F39" s="59">
        <f t="shared" si="7"/>
        <v>24431</v>
      </c>
      <c r="G39" s="59">
        <f t="shared" si="7"/>
        <v>24431</v>
      </c>
      <c r="H39" s="59">
        <f t="shared" si="7"/>
        <v>0</v>
      </c>
      <c r="I39" s="229" t="s">
        <v>159</v>
      </c>
      <c r="J39" s="200">
        <f t="shared" ref="J39:P39" si="8">SUM(J31:J34)</f>
        <v>16481</v>
      </c>
      <c r="K39" s="59">
        <f t="shared" si="8"/>
        <v>20510</v>
      </c>
      <c r="L39" s="59">
        <f t="shared" si="8"/>
        <v>35576</v>
      </c>
      <c r="M39" s="59">
        <f t="shared" si="8"/>
        <v>39466</v>
      </c>
      <c r="N39" s="59">
        <f t="shared" si="8"/>
        <v>49232</v>
      </c>
      <c r="O39" s="59">
        <f t="shared" si="8"/>
        <v>49232</v>
      </c>
      <c r="P39" s="59">
        <f t="shared" si="8"/>
        <v>0</v>
      </c>
    </row>
    <row r="40" spans="1:16" s="2" customFormat="1" ht="15" x14ac:dyDescent="0.25">
      <c r="A40" s="147" t="s">
        <v>160</v>
      </c>
      <c r="B40" s="149"/>
      <c r="C40" s="59"/>
      <c r="D40" s="439"/>
      <c r="E40" s="439"/>
      <c r="F40" s="439"/>
      <c r="G40" s="439"/>
      <c r="H40" s="149"/>
      <c r="I40" s="229" t="s">
        <v>162</v>
      </c>
      <c r="J40" s="200">
        <f>B39-J39</f>
        <v>-11481</v>
      </c>
      <c r="K40" s="59">
        <f>C39-K39</f>
        <v>-15510</v>
      </c>
      <c r="L40" s="59">
        <f>D39-L39</f>
        <v>-15911</v>
      </c>
      <c r="M40" s="59">
        <f>E39-M39</f>
        <v>-19801</v>
      </c>
      <c r="N40" s="59">
        <f>F39-N39</f>
        <v>-24801</v>
      </c>
      <c r="O40" s="59">
        <f>G39-O39</f>
        <v>-24801</v>
      </c>
      <c r="P40" s="59">
        <f t="shared" ref="P40" si="9">H39-P39</f>
        <v>0</v>
      </c>
    </row>
    <row r="41" spans="1:16" s="2" customFormat="1" ht="30" x14ac:dyDescent="0.25">
      <c r="A41" s="147" t="s">
        <v>163</v>
      </c>
      <c r="B41" s="149">
        <f>SUM(B42)</f>
        <v>0</v>
      </c>
      <c r="C41" s="149">
        <f t="shared" ref="C41:H41" si="10">SUM(C42)</f>
        <v>0</v>
      </c>
      <c r="D41" s="149">
        <f t="shared" si="10"/>
        <v>0</v>
      </c>
      <c r="E41" s="149">
        <f t="shared" si="10"/>
        <v>0</v>
      </c>
      <c r="F41" s="149">
        <f t="shared" si="10"/>
        <v>0</v>
      </c>
      <c r="G41" s="149">
        <f t="shared" si="10"/>
        <v>0</v>
      </c>
      <c r="H41" s="149">
        <f t="shared" si="10"/>
        <v>0</v>
      </c>
      <c r="I41" s="229" t="s">
        <v>164</v>
      </c>
      <c r="J41" s="200">
        <f>SUM(J42:J44)</f>
        <v>0</v>
      </c>
      <c r="K41" s="59">
        <f>SUM(K42:K43)</f>
        <v>0</v>
      </c>
      <c r="L41" s="59">
        <f>SUM(L42:L43)</f>
        <v>0</v>
      </c>
      <c r="M41" s="59">
        <f>SUM(M42:M43)</f>
        <v>0</v>
      </c>
      <c r="N41" s="59">
        <f>SUM(N42:N43)</f>
        <v>0</v>
      </c>
      <c r="O41" s="59">
        <f>SUM(O42:O43)</f>
        <v>0</v>
      </c>
      <c r="P41" s="59">
        <f>SUM(P42:P43)</f>
        <v>0</v>
      </c>
    </row>
    <row r="42" spans="1:16" ht="14.25" x14ac:dyDescent="0.2">
      <c r="A42" s="142" t="s">
        <v>165</v>
      </c>
      <c r="B42" s="1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158">
        <v>0</v>
      </c>
      <c r="I42" s="227" t="s">
        <v>166</v>
      </c>
      <c r="J42" s="201"/>
      <c r="K42" s="58"/>
      <c r="L42" s="437"/>
      <c r="M42" s="437"/>
      <c r="N42" s="437"/>
      <c r="O42" s="437"/>
      <c r="P42" s="158"/>
    </row>
    <row r="43" spans="1:16" ht="30" x14ac:dyDescent="0.25">
      <c r="A43" s="147" t="s">
        <v>167</v>
      </c>
      <c r="B43" s="149">
        <f t="shared" ref="B43:H43" si="11">SUM(B44:B45)</f>
        <v>0</v>
      </c>
      <c r="C43" s="59">
        <f t="shared" si="11"/>
        <v>0</v>
      </c>
      <c r="D43" s="59">
        <f t="shared" si="11"/>
        <v>0</v>
      </c>
      <c r="E43" s="59">
        <f t="shared" si="11"/>
        <v>0</v>
      </c>
      <c r="F43" s="59">
        <f t="shared" si="11"/>
        <v>0</v>
      </c>
      <c r="G43" s="59">
        <f t="shared" si="11"/>
        <v>0</v>
      </c>
      <c r="H43" s="59">
        <f t="shared" si="11"/>
        <v>0</v>
      </c>
      <c r="I43" s="227" t="s">
        <v>168</v>
      </c>
      <c r="J43" s="201"/>
      <c r="K43" s="58"/>
      <c r="L43" s="437"/>
      <c r="M43" s="437"/>
      <c r="N43" s="437"/>
      <c r="O43" s="437"/>
      <c r="P43" s="158"/>
    </row>
    <row r="44" spans="1:16" ht="28.5" x14ac:dyDescent="0.2">
      <c r="A44" s="152" t="s">
        <v>169</v>
      </c>
      <c r="B44" s="158"/>
      <c r="C44" s="58"/>
      <c r="D44" s="437"/>
      <c r="E44" s="437"/>
      <c r="F44" s="437"/>
      <c r="G44" s="437"/>
      <c r="H44" s="158"/>
      <c r="I44" s="227" t="s">
        <v>262</v>
      </c>
      <c r="J44" s="201"/>
      <c r="K44" s="58"/>
      <c r="L44" s="437"/>
      <c r="M44" s="437"/>
      <c r="N44" s="437"/>
      <c r="O44" s="437"/>
      <c r="P44" s="158"/>
    </row>
    <row r="45" spans="1:16" ht="14.25" x14ac:dyDescent="0.2">
      <c r="A45" s="142" t="s">
        <v>170</v>
      </c>
      <c r="B45" s="158"/>
      <c r="C45" s="58"/>
      <c r="D45" s="437"/>
      <c r="E45" s="437"/>
      <c r="F45" s="437"/>
      <c r="G45" s="437"/>
      <c r="H45" s="158"/>
      <c r="I45" s="227"/>
      <c r="J45" s="201"/>
      <c r="K45" s="58"/>
      <c r="L45" s="437"/>
      <c r="M45" s="437"/>
      <c r="N45" s="437"/>
      <c r="O45" s="437"/>
      <c r="P45" s="158"/>
    </row>
    <row r="46" spans="1:16" s="2" customFormat="1" ht="15.75" thickBot="1" x14ac:dyDescent="0.3">
      <c r="A46" s="154" t="s">
        <v>171</v>
      </c>
      <c r="B46" s="160">
        <f t="shared" ref="B46:H46" si="12">B39+B41+B43</f>
        <v>5000</v>
      </c>
      <c r="C46" s="218">
        <f t="shared" si="12"/>
        <v>5000</v>
      </c>
      <c r="D46" s="218">
        <f t="shared" si="12"/>
        <v>19665</v>
      </c>
      <c r="E46" s="218">
        <f t="shared" si="12"/>
        <v>19665</v>
      </c>
      <c r="F46" s="218">
        <f t="shared" si="12"/>
        <v>24431</v>
      </c>
      <c r="G46" s="218">
        <f t="shared" si="12"/>
        <v>24431</v>
      </c>
      <c r="H46" s="218">
        <f t="shared" si="12"/>
        <v>0</v>
      </c>
      <c r="I46" s="230" t="s">
        <v>172</v>
      </c>
      <c r="J46" s="217">
        <f t="shared" ref="J46:P46" si="13">J39+J41</f>
        <v>16481</v>
      </c>
      <c r="K46" s="218">
        <f t="shared" si="13"/>
        <v>20510</v>
      </c>
      <c r="L46" s="218">
        <f t="shared" si="13"/>
        <v>35576</v>
      </c>
      <c r="M46" s="218">
        <f t="shared" si="13"/>
        <v>39466</v>
      </c>
      <c r="N46" s="218">
        <f t="shared" si="13"/>
        <v>49232</v>
      </c>
      <c r="O46" s="218">
        <f t="shared" si="13"/>
        <v>49232</v>
      </c>
      <c r="P46" s="218">
        <f t="shared" si="13"/>
        <v>0</v>
      </c>
    </row>
    <row r="47" spans="1:16" x14ac:dyDescent="0.2">
      <c r="A47" s="14"/>
      <c r="B47" s="15"/>
      <c r="C47" s="15"/>
      <c r="D47" s="15"/>
      <c r="E47" s="15"/>
      <c r="F47" s="15"/>
      <c r="G47" s="15"/>
      <c r="H47" s="15"/>
      <c r="I47" s="14"/>
      <c r="J47" s="15"/>
      <c r="K47" s="15"/>
      <c r="L47" s="15"/>
      <c r="M47" s="15"/>
      <c r="N47" s="15"/>
      <c r="O47" s="15"/>
      <c r="P47" s="15"/>
    </row>
    <row r="48" spans="1:16" ht="15.75" customHeight="1" x14ac:dyDescent="0.25">
      <c r="A48" s="499" t="s">
        <v>280</v>
      </c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</row>
    <row r="49" spans="1:16" ht="13.5" thickBot="1" x14ac:dyDescent="0.25"/>
    <row r="50" spans="1:16" s="92" customFormat="1" ht="29.25" thickBot="1" x14ac:dyDescent="0.3">
      <c r="A50" s="197" t="s">
        <v>173</v>
      </c>
      <c r="B50" s="193" t="s">
        <v>391</v>
      </c>
      <c r="C50" s="194" t="s">
        <v>392</v>
      </c>
      <c r="D50" s="430" t="s">
        <v>409</v>
      </c>
      <c r="E50" s="430" t="s">
        <v>416</v>
      </c>
      <c r="F50" s="430" t="s">
        <v>420</v>
      </c>
      <c r="G50" s="430" t="s">
        <v>424</v>
      </c>
      <c r="H50" s="193" t="s">
        <v>393</v>
      </c>
      <c r="I50" s="199" t="s">
        <v>174</v>
      </c>
      <c r="J50" s="193" t="s">
        <v>391</v>
      </c>
      <c r="K50" s="194" t="s">
        <v>392</v>
      </c>
      <c r="L50" s="430" t="s">
        <v>409</v>
      </c>
      <c r="M50" s="430" t="s">
        <v>416</v>
      </c>
      <c r="N50" s="430" t="s">
        <v>420</v>
      </c>
      <c r="O50" s="430" t="s">
        <v>424</v>
      </c>
      <c r="P50" s="193" t="s">
        <v>393</v>
      </c>
    </row>
    <row r="51" spans="1:16" ht="14.25" x14ac:dyDescent="0.2">
      <c r="A51" s="249" t="s">
        <v>175</v>
      </c>
      <c r="B51" s="214">
        <f t="shared" ref="B51:H51" si="14">B17</f>
        <v>57148</v>
      </c>
      <c r="C51" s="202">
        <f t="shared" si="14"/>
        <v>58451</v>
      </c>
      <c r="D51" s="202">
        <f t="shared" si="14"/>
        <v>60419</v>
      </c>
      <c r="E51" s="202">
        <f t="shared" si="14"/>
        <v>60419</v>
      </c>
      <c r="F51" s="202">
        <f t="shared" si="14"/>
        <v>66946</v>
      </c>
      <c r="G51" s="202">
        <f t="shared" si="14"/>
        <v>67201</v>
      </c>
      <c r="H51" s="202">
        <f t="shared" si="14"/>
        <v>255</v>
      </c>
      <c r="I51" s="16" t="s">
        <v>176</v>
      </c>
      <c r="J51" s="198">
        <f t="shared" ref="J51:P51" si="15">J17</f>
        <v>74670</v>
      </c>
      <c r="K51" s="202">
        <f t="shared" si="15"/>
        <v>71944</v>
      </c>
      <c r="L51" s="202">
        <f t="shared" si="15"/>
        <v>73985</v>
      </c>
      <c r="M51" s="202">
        <f t="shared" si="15"/>
        <v>70095</v>
      </c>
      <c r="N51" s="202">
        <f t="shared" si="15"/>
        <v>71622</v>
      </c>
      <c r="O51" s="202">
        <f t="shared" si="15"/>
        <v>72579</v>
      </c>
      <c r="P51" s="202">
        <f t="shared" si="15"/>
        <v>957</v>
      </c>
    </row>
    <row r="52" spans="1:16" ht="14.25" x14ac:dyDescent="0.2">
      <c r="A52" s="142" t="s">
        <v>177</v>
      </c>
      <c r="B52" s="158">
        <f t="shared" ref="B52:H52" si="16">B39</f>
        <v>5000</v>
      </c>
      <c r="C52" s="201">
        <f t="shared" si="16"/>
        <v>5000</v>
      </c>
      <c r="D52" s="201">
        <f t="shared" si="16"/>
        <v>19665</v>
      </c>
      <c r="E52" s="201">
        <f t="shared" si="16"/>
        <v>19665</v>
      </c>
      <c r="F52" s="201">
        <f t="shared" si="16"/>
        <v>24431</v>
      </c>
      <c r="G52" s="201">
        <f t="shared" si="16"/>
        <v>24431</v>
      </c>
      <c r="H52" s="201">
        <f t="shared" si="16"/>
        <v>0</v>
      </c>
      <c r="I52" s="13" t="s">
        <v>178</v>
      </c>
      <c r="J52" s="139">
        <f t="shared" ref="J52:P52" si="17">J39</f>
        <v>16481</v>
      </c>
      <c r="K52" s="201">
        <f t="shared" si="17"/>
        <v>20510</v>
      </c>
      <c r="L52" s="201">
        <f t="shared" si="17"/>
        <v>35576</v>
      </c>
      <c r="M52" s="201">
        <f t="shared" si="17"/>
        <v>39466</v>
      </c>
      <c r="N52" s="201">
        <f t="shared" si="17"/>
        <v>49232</v>
      </c>
      <c r="O52" s="201">
        <f t="shared" si="17"/>
        <v>49232</v>
      </c>
      <c r="P52" s="201">
        <f t="shared" si="17"/>
        <v>0</v>
      </c>
    </row>
    <row r="53" spans="1:16" s="2" customFormat="1" ht="15" x14ac:dyDescent="0.25">
      <c r="A53" s="147" t="s">
        <v>11</v>
      </c>
      <c r="B53" s="161">
        <f t="shared" ref="B53:H53" si="18">SUM(B51:B52)</f>
        <v>62148</v>
      </c>
      <c r="C53" s="219">
        <f t="shared" si="18"/>
        <v>63451</v>
      </c>
      <c r="D53" s="219">
        <f t="shared" si="18"/>
        <v>80084</v>
      </c>
      <c r="E53" s="219">
        <f t="shared" si="18"/>
        <v>80084</v>
      </c>
      <c r="F53" s="219">
        <f t="shared" si="18"/>
        <v>91377</v>
      </c>
      <c r="G53" s="219">
        <f t="shared" si="18"/>
        <v>91632</v>
      </c>
      <c r="H53" s="219">
        <f t="shared" si="18"/>
        <v>255</v>
      </c>
      <c r="I53" s="12" t="s">
        <v>24</v>
      </c>
      <c r="J53" s="162">
        <f t="shared" ref="J53:P53" si="19">SUM(J51:J52)</f>
        <v>91151</v>
      </c>
      <c r="K53" s="219">
        <f t="shared" si="19"/>
        <v>92454</v>
      </c>
      <c r="L53" s="219">
        <f t="shared" si="19"/>
        <v>109561</v>
      </c>
      <c r="M53" s="219">
        <f t="shared" si="19"/>
        <v>109561</v>
      </c>
      <c r="N53" s="219">
        <f>SUM(N51:N52)</f>
        <v>120854</v>
      </c>
      <c r="O53" s="219">
        <f>SUM(O51:O52)</f>
        <v>121811</v>
      </c>
      <c r="P53" s="219">
        <f t="shared" si="19"/>
        <v>957</v>
      </c>
    </row>
    <row r="54" spans="1:16" s="2" customFormat="1" ht="15" x14ac:dyDescent="0.25">
      <c r="A54" s="147" t="s">
        <v>179</v>
      </c>
      <c r="B54" s="161"/>
      <c r="C54" s="219"/>
      <c r="D54" s="219"/>
      <c r="E54" s="219"/>
      <c r="F54" s="219"/>
      <c r="G54" s="219"/>
      <c r="H54" s="219"/>
      <c r="I54" s="12" t="s">
        <v>180</v>
      </c>
      <c r="J54" s="162">
        <f>J53-B53</f>
        <v>29003</v>
      </c>
      <c r="K54" s="219">
        <f>K53-C53</f>
        <v>29003</v>
      </c>
      <c r="L54" s="219">
        <f>L53-D53</f>
        <v>29477</v>
      </c>
      <c r="M54" s="219">
        <f>M53-E53</f>
        <v>29477</v>
      </c>
      <c r="N54" s="219">
        <f>N53-F53</f>
        <v>29477</v>
      </c>
      <c r="O54" s="219">
        <f>O53-G53</f>
        <v>30179</v>
      </c>
      <c r="P54" s="219">
        <f t="shared" ref="P54" si="20">P53-H53</f>
        <v>702</v>
      </c>
    </row>
    <row r="55" spans="1:16" s="2" customFormat="1" ht="30" x14ac:dyDescent="0.25">
      <c r="A55" s="147" t="s">
        <v>181</v>
      </c>
      <c r="B55" s="161">
        <f t="shared" ref="B55:H55" si="21">SUM(B56:B57)</f>
        <v>5000</v>
      </c>
      <c r="C55" s="219">
        <f t="shared" si="21"/>
        <v>5000</v>
      </c>
      <c r="D55" s="219">
        <f t="shared" si="21"/>
        <v>5474</v>
      </c>
      <c r="E55" s="219">
        <f t="shared" si="21"/>
        <v>5474</v>
      </c>
      <c r="F55" s="219">
        <f t="shared" si="21"/>
        <v>5474</v>
      </c>
      <c r="G55" s="219">
        <f t="shared" si="21"/>
        <v>5474</v>
      </c>
      <c r="H55" s="219">
        <f t="shared" si="21"/>
        <v>0</v>
      </c>
      <c r="I55" s="12" t="s">
        <v>182</v>
      </c>
      <c r="J55" s="162">
        <f t="shared" ref="J55:P55" si="22">SUM(J56:J57)</f>
        <v>1377</v>
      </c>
      <c r="K55" s="219">
        <f t="shared" si="22"/>
        <v>1796</v>
      </c>
      <c r="L55" s="219">
        <f t="shared" si="22"/>
        <v>1796</v>
      </c>
      <c r="M55" s="219">
        <f t="shared" si="22"/>
        <v>1796</v>
      </c>
      <c r="N55" s="219">
        <f t="shared" si="22"/>
        <v>1796</v>
      </c>
      <c r="O55" s="219">
        <f t="shared" si="22"/>
        <v>1796</v>
      </c>
      <c r="P55" s="219">
        <f t="shared" si="22"/>
        <v>0</v>
      </c>
    </row>
    <row r="56" spans="1:16" ht="28.5" x14ac:dyDescent="0.2">
      <c r="A56" s="142" t="s">
        <v>138</v>
      </c>
      <c r="B56" s="163">
        <f t="shared" ref="B56:H56" si="23">B19</f>
        <v>5000</v>
      </c>
      <c r="C56" s="220">
        <f t="shared" si="23"/>
        <v>5000</v>
      </c>
      <c r="D56" s="220">
        <f t="shared" si="23"/>
        <v>5474</v>
      </c>
      <c r="E56" s="220">
        <f t="shared" si="23"/>
        <v>5474</v>
      </c>
      <c r="F56" s="220">
        <f t="shared" si="23"/>
        <v>5474</v>
      </c>
      <c r="G56" s="220">
        <f t="shared" si="23"/>
        <v>5474</v>
      </c>
      <c r="H56" s="220">
        <f t="shared" si="23"/>
        <v>0</v>
      </c>
      <c r="I56" s="13" t="s">
        <v>183</v>
      </c>
      <c r="J56" s="164">
        <f t="shared" ref="J56:P56" si="24">J19</f>
        <v>1377</v>
      </c>
      <c r="K56" s="220">
        <f t="shared" si="24"/>
        <v>1796</v>
      </c>
      <c r="L56" s="220">
        <f t="shared" si="24"/>
        <v>1796</v>
      </c>
      <c r="M56" s="220">
        <f t="shared" si="24"/>
        <v>1796</v>
      </c>
      <c r="N56" s="220">
        <f t="shared" si="24"/>
        <v>1796</v>
      </c>
      <c r="O56" s="220">
        <f t="shared" si="24"/>
        <v>1796</v>
      </c>
      <c r="P56" s="220">
        <f t="shared" si="24"/>
        <v>0</v>
      </c>
    </row>
    <row r="57" spans="1:16" ht="28.5" x14ac:dyDescent="0.2">
      <c r="A57" s="142" t="s">
        <v>163</v>
      </c>
      <c r="B57" s="163">
        <f t="shared" ref="B57:H57" si="25">B41</f>
        <v>0</v>
      </c>
      <c r="C57" s="220">
        <f t="shared" si="25"/>
        <v>0</v>
      </c>
      <c r="D57" s="220">
        <f t="shared" si="25"/>
        <v>0</v>
      </c>
      <c r="E57" s="220">
        <f t="shared" si="25"/>
        <v>0</v>
      </c>
      <c r="F57" s="220">
        <f t="shared" si="25"/>
        <v>0</v>
      </c>
      <c r="G57" s="220">
        <f t="shared" si="25"/>
        <v>0</v>
      </c>
      <c r="H57" s="220">
        <f t="shared" si="25"/>
        <v>0</v>
      </c>
      <c r="I57" s="13" t="s">
        <v>184</v>
      </c>
      <c r="J57" s="164">
        <f t="shared" ref="J57:P57" si="26">J41</f>
        <v>0</v>
      </c>
      <c r="K57" s="220">
        <f t="shared" si="26"/>
        <v>0</v>
      </c>
      <c r="L57" s="220">
        <f t="shared" si="26"/>
        <v>0</v>
      </c>
      <c r="M57" s="220">
        <f t="shared" si="26"/>
        <v>0</v>
      </c>
      <c r="N57" s="220">
        <f t="shared" si="26"/>
        <v>0</v>
      </c>
      <c r="O57" s="220">
        <f t="shared" si="26"/>
        <v>0</v>
      </c>
      <c r="P57" s="220">
        <f t="shared" si="26"/>
        <v>0</v>
      </c>
    </row>
    <row r="58" spans="1:16" s="2" customFormat="1" ht="15" x14ac:dyDescent="0.25">
      <c r="A58" s="147" t="s">
        <v>185</v>
      </c>
      <c r="B58" s="161">
        <f t="shared" ref="B58:H58" si="27">SUM(B59:B60)</f>
        <v>25380</v>
      </c>
      <c r="C58" s="219">
        <f t="shared" si="27"/>
        <v>25799</v>
      </c>
      <c r="D58" s="219">
        <f t="shared" si="27"/>
        <v>25799</v>
      </c>
      <c r="E58" s="219">
        <f t="shared" si="27"/>
        <v>25799</v>
      </c>
      <c r="F58" s="219">
        <f t="shared" si="27"/>
        <v>25799</v>
      </c>
      <c r="G58" s="219">
        <f t="shared" si="27"/>
        <v>26501</v>
      </c>
      <c r="H58" s="219">
        <f t="shared" si="27"/>
        <v>702</v>
      </c>
      <c r="I58" s="12"/>
      <c r="J58" s="203"/>
      <c r="K58" s="222"/>
      <c r="L58" s="222"/>
      <c r="M58" s="222"/>
      <c r="N58" s="222"/>
      <c r="O58" s="222"/>
      <c r="P58" s="222"/>
    </row>
    <row r="59" spans="1:16" ht="28.5" x14ac:dyDescent="0.2">
      <c r="A59" s="142" t="s">
        <v>141</v>
      </c>
      <c r="B59" s="163">
        <f t="shared" ref="B59:H59" si="28">B21</f>
        <v>25380</v>
      </c>
      <c r="C59" s="163">
        <f t="shared" si="28"/>
        <v>25799</v>
      </c>
      <c r="D59" s="163">
        <f t="shared" si="28"/>
        <v>25799</v>
      </c>
      <c r="E59" s="163">
        <f t="shared" si="28"/>
        <v>25799</v>
      </c>
      <c r="F59" s="163">
        <f t="shared" si="28"/>
        <v>25799</v>
      </c>
      <c r="G59" s="163">
        <f t="shared" si="28"/>
        <v>26501</v>
      </c>
      <c r="H59" s="220">
        <f t="shared" si="28"/>
        <v>702</v>
      </c>
      <c r="I59" s="13"/>
      <c r="J59" s="143"/>
      <c r="K59" s="201"/>
      <c r="L59" s="201"/>
      <c r="M59" s="201"/>
      <c r="N59" s="201"/>
      <c r="O59" s="201"/>
      <c r="P59" s="201"/>
    </row>
    <row r="60" spans="1:16" ht="29.25" x14ac:dyDescent="0.25">
      <c r="A60" s="152" t="s">
        <v>167</v>
      </c>
      <c r="B60" s="163">
        <f t="shared" ref="B60:H60" si="29">B43</f>
        <v>0</v>
      </c>
      <c r="C60" s="220">
        <f t="shared" si="29"/>
        <v>0</v>
      </c>
      <c r="D60" s="220">
        <f t="shared" si="29"/>
        <v>0</v>
      </c>
      <c r="E60" s="220">
        <f t="shared" si="29"/>
        <v>0</v>
      </c>
      <c r="F60" s="220">
        <f t="shared" si="29"/>
        <v>0</v>
      </c>
      <c r="G60" s="220">
        <f t="shared" si="29"/>
        <v>0</v>
      </c>
      <c r="H60" s="220">
        <f t="shared" si="29"/>
        <v>0</v>
      </c>
      <c r="I60" s="17"/>
      <c r="J60" s="165"/>
      <c r="K60" s="200"/>
      <c r="L60" s="200"/>
      <c r="M60" s="200"/>
      <c r="N60" s="200"/>
      <c r="O60" s="200"/>
      <c r="P60" s="200"/>
    </row>
    <row r="61" spans="1:16" s="2" customFormat="1" ht="15.75" thickBot="1" x14ac:dyDescent="0.3">
      <c r="A61" s="154" t="s">
        <v>80</v>
      </c>
      <c r="B61" s="166">
        <f t="shared" ref="B61:H61" si="30">B53+B55+B58</f>
        <v>92528</v>
      </c>
      <c r="C61" s="221">
        <f t="shared" si="30"/>
        <v>94250</v>
      </c>
      <c r="D61" s="221">
        <f t="shared" si="30"/>
        <v>111357</v>
      </c>
      <c r="E61" s="221">
        <f t="shared" si="30"/>
        <v>111357</v>
      </c>
      <c r="F61" s="221">
        <f t="shared" si="30"/>
        <v>122650</v>
      </c>
      <c r="G61" s="221">
        <f t="shared" si="30"/>
        <v>123607</v>
      </c>
      <c r="H61" s="221">
        <f t="shared" si="30"/>
        <v>957</v>
      </c>
      <c r="I61" s="157" t="s">
        <v>186</v>
      </c>
      <c r="J61" s="167">
        <f t="shared" ref="J61:P61" si="31">J53+J55</f>
        <v>92528</v>
      </c>
      <c r="K61" s="221">
        <f t="shared" si="31"/>
        <v>94250</v>
      </c>
      <c r="L61" s="221">
        <f t="shared" si="31"/>
        <v>111357</v>
      </c>
      <c r="M61" s="221">
        <f t="shared" si="31"/>
        <v>111357</v>
      </c>
      <c r="N61" s="221">
        <f>N53+N55</f>
        <v>122650</v>
      </c>
      <c r="O61" s="221">
        <f>O53+O55</f>
        <v>123607</v>
      </c>
      <c r="P61" s="221">
        <f t="shared" si="31"/>
        <v>957</v>
      </c>
    </row>
    <row r="62" spans="1:16" x14ac:dyDescent="0.2">
      <c r="A62" s="92" t="s">
        <v>187</v>
      </c>
    </row>
  </sheetData>
  <sheetProtection selectLockedCells="1" selectUnlockedCells="1"/>
  <mergeCells count="3">
    <mergeCell ref="A4:P4"/>
    <mergeCell ref="A28:P28"/>
    <mergeCell ref="A48:P48"/>
  </mergeCells>
  <phoneticPr fontId="27" type="noConversion"/>
  <pageMargins left="0.21968750000000001" right="0.2434375" top="0.98402777777777772" bottom="0.98402777777777772" header="0.51180555555555551" footer="0.51180555555555551"/>
  <pageSetup paperSize="9" scale="57" firstPageNumber="0" orientation="landscape" r:id="rId1"/>
  <headerFooter alignWithMargins="0">
    <oddHeader>&amp;LPécsely Község Önkormányzata&amp;C6. melléklet a .../2017. (......) rendelethez&amp;R&amp;P. oldalezer forint</oddHeader>
  </headerFooter>
  <rowBreaks count="2" manualBreakCount="2">
    <brk id="26" max="9" man="1"/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P91"/>
  <sheetViews>
    <sheetView view="pageLayout" topLeftCell="A73" zoomScaleSheetLayoutView="89" workbookViewId="0">
      <selection activeCell="N19" sqref="N19:O19"/>
    </sheetView>
  </sheetViews>
  <sheetFormatPr defaultColWidth="9.140625" defaultRowHeight="12.75" x14ac:dyDescent="0.2"/>
  <cols>
    <col min="1" max="1" width="42.5703125" style="94" customWidth="1"/>
    <col min="2" max="2" width="10.7109375" style="95" bestFit="1" customWidth="1"/>
    <col min="3" max="6" width="10.42578125" style="95" bestFit="1" customWidth="1"/>
    <col min="7" max="7" width="10.42578125" style="95" customWidth="1"/>
    <col min="8" max="8" width="8" style="95" bestFit="1" customWidth="1"/>
    <col min="9" max="9" width="43.7109375" style="95" customWidth="1"/>
    <col min="10" max="10" width="10.7109375" style="95" bestFit="1" customWidth="1"/>
    <col min="11" max="11" width="10.42578125" style="95" bestFit="1" customWidth="1"/>
    <col min="12" max="12" width="10.42578125" style="95" customWidth="1"/>
    <col min="13" max="14" width="10.5703125" style="95" bestFit="1" customWidth="1"/>
    <col min="15" max="15" width="10.5703125" style="95" customWidth="1"/>
    <col min="16" max="16" width="8" style="95" bestFit="1" customWidth="1"/>
    <col min="17" max="16384" width="9.140625" style="95"/>
  </cols>
  <sheetData>
    <row r="2" spans="1:16" x14ac:dyDescent="0.2">
      <c r="I2" s="96"/>
    </row>
    <row r="4" spans="1:16" ht="15.75" customHeight="1" x14ac:dyDescent="0.25">
      <c r="A4" s="500" t="s">
        <v>282</v>
      </c>
      <c r="B4" s="500"/>
      <c r="C4" s="500"/>
      <c r="D4" s="500"/>
      <c r="E4" s="500"/>
      <c r="F4" s="500"/>
      <c r="G4" s="500"/>
      <c r="H4" s="500"/>
      <c r="I4" s="500"/>
      <c r="J4" s="500"/>
    </row>
    <row r="5" spans="1:16" ht="13.5" thickBot="1" x14ac:dyDescent="0.25"/>
    <row r="6" spans="1:16" s="94" customFormat="1" ht="29.25" thickBot="1" x14ac:dyDescent="0.3">
      <c r="A6" s="18" t="s">
        <v>126</v>
      </c>
      <c r="B6" s="193" t="s">
        <v>391</v>
      </c>
      <c r="C6" s="194" t="s">
        <v>392</v>
      </c>
      <c r="D6" s="430" t="s">
        <v>409</v>
      </c>
      <c r="E6" s="430" t="s">
        <v>416</v>
      </c>
      <c r="F6" s="430" t="s">
        <v>420</v>
      </c>
      <c r="G6" s="430" t="s">
        <v>424</v>
      </c>
      <c r="H6" s="193" t="s">
        <v>393</v>
      </c>
      <c r="I6" s="19" t="s">
        <v>127</v>
      </c>
      <c r="J6" s="193" t="s">
        <v>391</v>
      </c>
      <c r="K6" s="194" t="s">
        <v>392</v>
      </c>
      <c r="L6" s="430" t="s">
        <v>409</v>
      </c>
      <c r="M6" s="430" t="s">
        <v>416</v>
      </c>
      <c r="N6" s="430" t="s">
        <v>420</v>
      </c>
      <c r="O6" s="430" t="s">
        <v>424</v>
      </c>
      <c r="P6" s="193" t="s">
        <v>393</v>
      </c>
    </row>
    <row r="7" spans="1:16" s="94" customFormat="1" ht="15" x14ac:dyDescent="0.25">
      <c r="A7" s="20" t="s">
        <v>188</v>
      </c>
      <c r="B7" s="97"/>
      <c r="C7" s="97"/>
      <c r="D7" s="170"/>
      <c r="E7" s="170"/>
      <c r="F7" s="170"/>
      <c r="G7" s="170"/>
      <c r="H7" s="170"/>
      <c r="I7" s="19" t="s">
        <v>16</v>
      </c>
      <c r="J7" s="98"/>
      <c r="K7" s="98"/>
      <c r="L7" s="173"/>
      <c r="M7" s="173"/>
      <c r="N7" s="173"/>
      <c r="O7" s="173"/>
      <c r="P7" s="173"/>
    </row>
    <row r="8" spans="1:16" ht="28.5" x14ac:dyDescent="0.2">
      <c r="A8" s="21" t="s">
        <v>189</v>
      </c>
      <c r="B8" s="22">
        <f>'6. sz. tábla '!B7</f>
        <v>30098</v>
      </c>
      <c r="C8" s="22">
        <f>'6. sz. tábla '!C7</f>
        <v>31401</v>
      </c>
      <c r="D8" s="22">
        <f>'6. sz. tábla '!D7</f>
        <v>31769</v>
      </c>
      <c r="E8" s="22">
        <f>'6. sz. tábla '!E7</f>
        <v>31769</v>
      </c>
      <c r="F8" s="22">
        <f>'6. sz. tábla '!F7</f>
        <v>33030</v>
      </c>
      <c r="G8" s="22">
        <f>'6. sz. tábla '!G7</f>
        <v>33030</v>
      </c>
      <c r="H8" s="22">
        <f>'6. sz. tábla '!H7</f>
        <v>0</v>
      </c>
      <c r="I8" s="23" t="s">
        <v>112</v>
      </c>
      <c r="J8" s="22">
        <f>'6. sz. tábla '!J7</f>
        <v>13077</v>
      </c>
      <c r="K8" s="22">
        <f>'6. sz. tábla '!K7</f>
        <v>14328</v>
      </c>
      <c r="L8" s="22">
        <f>'6. sz. tábla '!L7</f>
        <v>14753</v>
      </c>
      <c r="M8" s="22">
        <f>'6. sz. tábla '!M7</f>
        <v>15052</v>
      </c>
      <c r="N8" s="22">
        <f>'6. sz. tábla '!N7</f>
        <v>14622</v>
      </c>
      <c r="O8" s="22">
        <f>'6. sz. tábla '!O7</f>
        <v>14622</v>
      </c>
      <c r="P8" s="22">
        <f>'6. sz. tábla '!P7</f>
        <v>0</v>
      </c>
    </row>
    <row r="9" spans="1:16" ht="17.25" customHeight="1" x14ac:dyDescent="0.2">
      <c r="A9" s="24" t="s">
        <v>129</v>
      </c>
      <c r="B9" s="344">
        <f>'6. sz. tábla '!B8</f>
        <v>20450</v>
      </c>
      <c r="C9" s="344">
        <f>'6. sz. tábla '!C8</f>
        <v>20450</v>
      </c>
      <c r="D9" s="344">
        <f>'6. sz. tábla '!D8</f>
        <v>20450</v>
      </c>
      <c r="E9" s="344">
        <f>'6. sz. tábla '!E8</f>
        <v>20450</v>
      </c>
      <c r="F9" s="344">
        <f>'6. sz. tábla '!F8</f>
        <v>24399</v>
      </c>
      <c r="G9" s="344">
        <f>'6. sz. tábla '!G8</f>
        <v>24429</v>
      </c>
      <c r="H9" s="344">
        <f>'6. sz. tábla '!H8</f>
        <v>30</v>
      </c>
      <c r="I9" s="25" t="s">
        <v>109</v>
      </c>
      <c r="J9" s="22">
        <f>'6. sz. tábla '!J8</f>
        <v>2907</v>
      </c>
      <c r="K9" s="22">
        <f>'6. sz. tábla '!K8</f>
        <v>3062</v>
      </c>
      <c r="L9" s="22">
        <f>'6. sz. tábla '!L8</f>
        <v>3155</v>
      </c>
      <c r="M9" s="22">
        <f>'6. sz. tábla '!M8</f>
        <v>3236</v>
      </c>
      <c r="N9" s="22">
        <f>'6. sz. tábla '!N8</f>
        <v>3666</v>
      </c>
      <c r="O9" s="22">
        <f>'6. sz. tábla '!O8</f>
        <v>3666</v>
      </c>
      <c r="P9" s="22">
        <f>'6. sz. tábla '!P8</f>
        <v>0</v>
      </c>
    </row>
    <row r="10" spans="1:16" ht="14.25" x14ac:dyDescent="0.2">
      <c r="A10" s="26" t="s">
        <v>131</v>
      </c>
      <c r="B10" s="22">
        <f>'6. sz. tábla '!B9</f>
        <v>6600</v>
      </c>
      <c r="C10" s="22">
        <f>'6. sz. tábla '!C9</f>
        <v>6600</v>
      </c>
      <c r="D10" s="22">
        <f>'6. sz. tábla '!D9</f>
        <v>8200</v>
      </c>
      <c r="E10" s="22">
        <f>'6. sz. tábla '!E9</f>
        <v>8200</v>
      </c>
      <c r="F10" s="22">
        <f>'6. sz. tábla '!F9</f>
        <v>9497</v>
      </c>
      <c r="G10" s="22">
        <f>'6. sz. tábla '!G9</f>
        <v>9722</v>
      </c>
      <c r="H10" s="22">
        <f>'6. sz. tábla '!H9</f>
        <v>225</v>
      </c>
      <c r="I10" s="25" t="s">
        <v>110</v>
      </c>
      <c r="J10" s="22">
        <f>'6. sz. tábla '!J9</f>
        <v>28980</v>
      </c>
      <c r="K10" s="22">
        <f>'6. sz. tábla '!K9</f>
        <v>28844</v>
      </c>
      <c r="L10" s="22">
        <f>'6. sz. tábla '!L9</f>
        <v>29408</v>
      </c>
      <c r="M10" s="22">
        <f>'6. sz. tábla '!M9</f>
        <v>29408</v>
      </c>
      <c r="N10" s="22">
        <f>'6. sz. tábla '!N9</f>
        <v>29408</v>
      </c>
      <c r="O10" s="22">
        <f>'6. sz. tábla '!O9</f>
        <v>29408</v>
      </c>
      <c r="P10" s="22">
        <f>'6. sz. tábla '!P9</f>
        <v>0</v>
      </c>
    </row>
    <row r="11" spans="1:16" ht="28.5" x14ac:dyDescent="0.2">
      <c r="A11" s="7" t="s">
        <v>133</v>
      </c>
      <c r="B11" s="22">
        <f>'6. sz. tábla '!B10</f>
        <v>0</v>
      </c>
      <c r="C11" s="22">
        <f>'6. sz. tábla '!C10</f>
        <v>0</v>
      </c>
      <c r="D11" s="22">
        <f>'6. sz. tábla '!D10</f>
        <v>0</v>
      </c>
      <c r="E11" s="22">
        <f>'6. sz. tábla '!E10</f>
        <v>0</v>
      </c>
      <c r="F11" s="22">
        <f>'6. sz. tábla '!F10</f>
        <v>20</v>
      </c>
      <c r="G11" s="22">
        <f>'6. sz. tábla '!G10</f>
        <v>20</v>
      </c>
      <c r="H11" s="22">
        <f>'6. sz. tábla '!H10</f>
        <v>0</v>
      </c>
      <c r="I11" s="23" t="s">
        <v>113</v>
      </c>
      <c r="J11" s="22">
        <f>'6. sz. tábla '!J10</f>
        <v>1865</v>
      </c>
      <c r="K11" s="22">
        <f>'6. sz. tábla '!K10</f>
        <v>1865</v>
      </c>
      <c r="L11" s="22">
        <f>'6. sz. tábla '!L10</f>
        <v>1865</v>
      </c>
      <c r="M11" s="22">
        <f>'6. sz. tábla '!M10</f>
        <v>1865</v>
      </c>
      <c r="N11" s="22">
        <f>'6. sz. tábla '!N10</f>
        <v>4642</v>
      </c>
      <c r="O11" s="22">
        <f>'6. sz. tábla '!O10</f>
        <v>4642</v>
      </c>
      <c r="P11" s="22">
        <f>'6. sz. tábla '!P10</f>
        <v>0</v>
      </c>
    </row>
    <row r="12" spans="1:16" ht="14.25" x14ac:dyDescent="0.2">
      <c r="A12" s="24"/>
      <c r="B12" s="22"/>
      <c r="C12" s="22"/>
      <c r="D12" s="171"/>
      <c r="E12" s="171"/>
      <c r="F12" s="171"/>
      <c r="G12" s="171"/>
      <c r="H12" s="171"/>
      <c r="I12" s="25" t="s">
        <v>111</v>
      </c>
      <c r="J12" s="22"/>
      <c r="K12" s="22"/>
      <c r="L12" s="171"/>
      <c r="M12" s="171"/>
      <c r="N12" s="171"/>
      <c r="O12" s="171"/>
      <c r="P12" s="171"/>
    </row>
    <row r="13" spans="1:16" ht="14.25" x14ac:dyDescent="0.2">
      <c r="A13" s="26"/>
      <c r="B13" s="22"/>
      <c r="C13" s="22"/>
      <c r="D13" s="171"/>
      <c r="E13" s="171"/>
      <c r="F13" s="171"/>
      <c r="G13" s="171"/>
      <c r="H13" s="171"/>
      <c r="I13" s="13" t="s">
        <v>258</v>
      </c>
      <c r="J13" s="22">
        <f>'6. sz. tábla '!J12</f>
        <v>0</v>
      </c>
      <c r="K13" s="22">
        <f>'6. sz. tábla '!K12</f>
        <v>72</v>
      </c>
      <c r="L13" s="22">
        <f>'6. sz. tábla '!L12</f>
        <v>72</v>
      </c>
      <c r="M13" s="22">
        <f>'6. sz. tábla '!M12</f>
        <v>72</v>
      </c>
      <c r="N13" s="22">
        <f>'6. sz. tábla '!N12</f>
        <v>72</v>
      </c>
      <c r="O13" s="22">
        <f>'6. sz. tábla '!O12</f>
        <v>72</v>
      </c>
      <c r="P13" s="22">
        <f>'6. sz. tábla '!P12</f>
        <v>0</v>
      </c>
    </row>
    <row r="14" spans="1:16" ht="28.5" x14ac:dyDescent="0.2">
      <c r="A14" s="26"/>
      <c r="B14" s="22"/>
      <c r="C14" s="22"/>
      <c r="D14" s="171"/>
      <c r="E14" s="171"/>
      <c r="F14" s="171"/>
      <c r="G14" s="171"/>
      <c r="H14" s="171"/>
      <c r="I14" s="13" t="s">
        <v>259</v>
      </c>
      <c r="J14" s="22">
        <f>'4. sz. tábla'!B6+'4. sz. tábla'!B8+'4. sz. tábla'!B9</f>
        <v>4083</v>
      </c>
      <c r="K14" s="22">
        <f>'4. sz. tábla'!C6</f>
        <v>4083</v>
      </c>
      <c r="L14" s="22">
        <f>'4. sz. tábla'!D6</f>
        <v>4083</v>
      </c>
      <c r="M14" s="22">
        <f>'4. sz. tábla'!E6</f>
        <v>4715</v>
      </c>
      <c r="N14" s="22">
        <f>'4. sz. tábla'!F6</f>
        <v>4715</v>
      </c>
      <c r="O14" s="22">
        <f>'4. sz. tábla'!G6</f>
        <v>4715</v>
      </c>
      <c r="P14" s="22">
        <f>'4. sz. tábla'!H6</f>
        <v>0</v>
      </c>
    </row>
    <row r="15" spans="1:16" ht="28.5" x14ac:dyDescent="0.2">
      <c r="A15" s="21"/>
      <c r="B15" s="22"/>
      <c r="C15" s="99"/>
      <c r="D15" s="172"/>
      <c r="E15" s="172"/>
      <c r="F15" s="172"/>
      <c r="G15" s="172"/>
      <c r="H15" s="172"/>
      <c r="I15" s="145" t="s">
        <v>260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f>'6. sz. tábla '!P14</f>
        <v>0</v>
      </c>
    </row>
    <row r="16" spans="1:16" ht="42.75" x14ac:dyDescent="0.2">
      <c r="A16" s="27"/>
      <c r="B16" s="22"/>
      <c r="C16" s="22"/>
      <c r="D16" s="171"/>
      <c r="E16" s="171"/>
      <c r="F16" s="171"/>
      <c r="G16" s="171"/>
      <c r="H16" s="171"/>
      <c r="I16" s="13" t="s">
        <v>261</v>
      </c>
      <c r="J16" s="22">
        <f>'6. sz. tábla '!J15</f>
        <v>0</v>
      </c>
      <c r="K16" s="22">
        <f>'6. sz. tábla '!K15</f>
        <v>0</v>
      </c>
      <c r="L16" s="22">
        <f>'6. sz. tábla '!L15</f>
        <v>0</v>
      </c>
      <c r="M16" s="22">
        <f>'6. sz. tábla '!M15</f>
        <v>0</v>
      </c>
      <c r="N16" s="22">
        <f>'6. sz. tábla '!N15</f>
        <v>0</v>
      </c>
      <c r="O16" s="22">
        <f>'6. sz. tábla '!O15</f>
        <v>0</v>
      </c>
      <c r="P16" s="22">
        <f>'6. sz. tábla '!P15</f>
        <v>0</v>
      </c>
    </row>
    <row r="17" spans="1:16" ht="14.25" x14ac:dyDescent="0.2">
      <c r="A17" s="24"/>
      <c r="B17" s="22"/>
      <c r="C17" s="22"/>
      <c r="D17" s="171"/>
      <c r="E17" s="171"/>
      <c r="F17" s="171"/>
      <c r="G17" s="171"/>
      <c r="H17" s="171"/>
      <c r="I17" s="146" t="s">
        <v>253</v>
      </c>
      <c r="J17" s="22">
        <f>'6. sz. tábla '!J16</f>
        <v>18507</v>
      </c>
      <c r="K17" s="22">
        <f>'6. sz. tábla '!K16</f>
        <v>14374</v>
      </c>
      <c r="L17" s="22">
        <f>'6. sz. tábla '!L16</f>
        <v>15324</v>
      </c>
      <c r="M17" s="22">
        <f>'6. sz. tábla '!M16</f>
        <v>10422</v>
      </c>
      <c r="N17" s="22">
        <f>'6. sz. tábla '!N16</f>
        <v>9172</v>
      </c>
      <c r="O17" s="22">
        <f>'6. sz. tábla '!O16</f>
        <v>10129</v>
      </c>
      <c r="P17" s="22">
        <f>'6. sz. tábla '!P16</f>
        <v>957</v>
      </c>
    </row>
    <row r="18" spans="1:16" s="29" customFormat="1" ht="30" x14ac:dyDescent="0.25">
      <c r="A18" s="18" t="s">
        <v>190</v>
      </c>
      <c r="B18" s="28">
        <f t="shared" ref="B18:H18" si="0">SUM(B8:B17)</f>
        <v>57148</v>
      </c>
      <c r="C18" s="28">
        <f t="shared" si="0"/>
        <v>58451</v>
      </c>
      <c r="D18" s="28">
        <f t="shared" si="0"/>
        <v>60419</v>
      </c>
      <c r="E18" s="28">
        <f t="shared" si="0"/>
        <v>60419</v>
      </c>
      <c r="F18" s="28">
        <f t="shared" si="0"/>
        <v>66946</v>
      </c>
      <c r="G18" s="28">
        <f t="shared" si="0"/>
        <v>67201</v>
      </c>
      <c r="H18" s="61">
        <f t="shared" si="0"/>
        <v>255</v>
      </c>
      <c r="I18" s="19" t="s">
        <v>191</v>
      </c>
      <c r="J18" s="28">
        <f t="shared" ref="J18:P18" si="1">SUM(J8:J17)</f>
        <v>69419</v>
      </c>
      <c r="K18" s="28">
        <f t="shared" si="1"/>
        <v>66628</v>
      </c>
      <c r="L18" s="28">
        <f t="shared" si="1"/>
        <v>68660</v>
      </c>
      <c r="M18" s="28">
        <f t="shared" si="1"/>
        <v>64770</v>
      </c>
      <c r="N18" s="28">
        <f t="shared" si="1"/>
        <v>66297</v>
      </c>
      <c r="O18" s="28">
        <f t="shared" si="1"/>
        <v>67254</v>
      </c>
      <c r="P18" s="61">
        <f t="shared" si="1"/>
        <v>957</v>
      </c>
    </row>
    <row r="19" spans="1:16" ht="14.25" x14ac:dyDescent="0.2">
      <c r="A19" s="30" t="s">
        <v>192</v>
      </c>
      <c r="B19" s="22">
        <f>'1.sz.tábla'!B15</f>
        <v>30380</v>
      </c>
      <c r="C19" s="22">
        <f>'1.sz.tábla'!C15</f>
        <v>30799</v>
      </c>
      <c r="D19" s="22">
        <f>'1.sz.tábla'!D15</f>
        <v>31273</v>
      </c>
      <c r="E19" s="22">
        <f>'1.sz.tábla'!E15</f>
        <v>31273</v>
      </c>
      <c r="F19" s="22">
        <f>'1.sz.tábla'!F15</f>
        <v>31273</v>
      </c>
      <c r="G19" s="22">
        <f>'1.sz.tábla'!G15</f>
        <v>31975</v>
      </c>
      <c r="H19" s="22">
        <f>'1.sz.tábla'!H15</f>
        <v>702</v>
      </c>
      <c r="I19" s="31" t="s">
        <v>193</v>
      </c>
      <c r="J19" s="22">
        <f>'1.sz.tábla'!B34</f>
        <v>1377</v>
      </c>
      <c r="K19" s="22">
        <f>'1.sz.tábla'!C34</f>
        <v>1796</v>
      </c>
      <c r="L19" s="22">
        <f>'1.sz.tábla'!D34</f>
        <v>1796</v>
      </c>
      <c r="M19" s="22">
        <f>'1.sz.tábla'!E34</f>
        <v>1796</v>
      </c>
      <c r="N19" s="22">
        <f>'1.sz.tábla'!F34</f>
        <v>1796</v>
      </c>
      <c r="O19" s="22">
        <f>'1.sz.tábla'!G34</f>
        <v>1796</v>
      </c>
      <c r="P19" s="22">
        <f>'1.sz.tábla'!H34</f>
        <v>0</v>
      </c>
    </row>
    <row r="20" spans="1:16" ht="45" x14ac:dyDescent="0.25">
      <c r="A20" s="18" t="s">
        <v>194</v>
      </c>
      <c r="B20" s="28">
        <f t="shared" ref="B20:H20" si="2">B18+B19</f>
        <v>87528</v>
      </c>
      <c r="C20" s="28">
        <f t="shared" si="2"/>
        <v>89250</v>
      </c>
      <c r="D20" s="28">
        <f t="shared" si="2"/>
        <v>91692</v>
      </c>
      <c r="E20" s="28">
        <f t="shared" si="2"/>
        <v>91692</v>
      </c>
      <c r="F20" s="28">
        <f t="shared" si="2"/>
        <v>98219</v>
      </c>
      <c r="G20" s="28">
        <f t="shared" si="2"/>
        <v>99176</v>
      </c>
      <c r="H20" s="61">
        <f t="shared" si="2"/>
        <v>957</v>
      </c>
      <c r="I20" s="19" t="s">
        <v>195</v>
      </c>
      <c r="J20" s="28">
        <f t="shared" ref="J20:P20" si="3">J18+J19</f>
        <v>70796</v>
      </c>
      <c r="K20" s="28">
        <f t="shared" si="3"/>
        <v>68424</v>
      </c>
      <c r="L20" s="28">
        <f t="shared" si="3"/>
        <v>70456</v>
      </c>
      <c r="M20" s="28">
        <f t="shared" si="3"/>
        <v>66566</v>
      </c>
      <c r="N20" s="28">
        <f t="shared" si="3"/>
        <v>68093</v>
      </c>
      <c r="O20" s="28">
        <f t="shared" si="3"/>
        <v>69050</v>
      </c>
      <c r="P20" s="61">
        <f t="shared" si="3"/>
        <v>957</v>
      </c>
    </row>
    <row r="21" spans="1:16" ht="15" x14ac:dyDescent="0.25">
      <c r="A21" s="32" t="s">
        <v>196</v>
      </c>
      <c r="B21" s="33"/>
      <c r="C21" s="33"/>
      <c r="D21" s="33"/>
      <c r="E21" s="33"/>
      <c r="F21" s="33"/>
      <c r="G21" s="33"/>
      <c r="H21" s="33"/>
      <c r="I21" s="34" t="s">
        <v>18</v>
      </c>
      <c r="J21" s="101"/>
      <c r="K21" s="101"/>
      <c r="L21" s="101"/>
      <c r="M21" s="101"/>
      <c r="N21" s="101"/>
      <c r="O21" s="101"/>
      <c r="P21" s="101"/>
    </row>
    <row r="22" spans="1:16" ht="28.5" x14ac:dyDescent="0.2">
      <c r="A22" s="7" t="s">
        <v>148</v>
      </c>
      <c r="B22" s="22">
        <f>'6. sz. tábla '!B31</f>
        <v>0</v>
      </c>
      <c r="C22" s="22">
        <f>'6. sz. tábla '!C31</f>
        <v>0</v>
      </c>
      <c r="D22" s="22">
        <f>'6. sz. tábla '!D31</f>
        <v>12750</v>
      </c>
      <c r="E22" s="22">
        <f>'6. sz. tábla '!E31</f>
        <v>12750</v>
      </c>
      <c r="F22" s="22">
        <f>'6. sz. tábla '!F31</f>
        <v>22516</v>
      </c>
      <c r="G22" s="22">
        <f>'6. sz. tábla '!G31</f>
        <v>22516</v>
      </c>
      <c r="H22" s="22">
        <f>'6. sz. tábla '!H31</f>
        <v>0</v>
      </c>
      <c r="I22" s="23" t="s">
        <v>149</v>
      </c>
      <c r="J22" s="22">
        <f>'6. sz. tábla '!J31</f>
        <v>4200</v>
      </c>
      <c r="K22" s="22">
        <f>'6. sz. tábla '!K31</f>
        <v>5254</v>
      </c>
      <c r="L22" s="22">
        <f>'6. sz. tábla '!L31</f>
        <v>5254</v>
      </c>
      <c r="M22" s="22">
        <f>'6. sz. tábla '!M31</f>
        <v>5254</v>
      </c>
      <c r="N22" s="22">
        <f>'6. sz. tábla '!N31</f>
        <v>5254</v>
      </c>
      <c r="O22" s="22">
        <f>'6. sz. tábla '!O31</f>
        <v>5254</v>
      </c>
      <c r="P22" s="22">
        <f>'6. sz. tábla '!P31</f>
        <v>0</v>
      </c>
    </row>
    <row r="23" spans="1:16" ht="14.25" x14ac:dyDescent="0.2">
      <c r="A23" s="6" t="s">
        <v>197</v>
      </c>
      <c r="B23" s="22">
        <f>'6. sz. tábla '!B32</f>
        <v>5000</v>
      </c>
      <c r="C23" s="22">
        <f>'6. sz. tábla '!C32</f>
        <v>5000</v>
      </c>
      <c r="D23" s="22">
        <f>'6. sz. tábla '!D32</f>
        <v>5000</v>
      </c>
      <c r="E23" s="22">
        <f>'6. sz. tábla '!E32</f>
        <v>5000</v>
      </c>
      <c r="F23" s="22">
        <f>'6. sz. tábla '!F32</f>
        <v>0</v>
      </c>
      <c r="G23" s="22">
        <f>'6. sz. tábla '!G32</f>
        <v>0</v>
      </c>
      <c r="H23" s="22">
        <f>'6. sz. tábla '!H32</f>
        <v>0</v>
      </c>
      <c r="I23" s="25" t="s">
        <v>151</v>
      </c>
      <c r="J23" s="22"/>
      <c r="K23" s="22"/>
      <c r="L23" s="171"/>
      <c r="M23" s="171"/>
      <c r="N23" s="171"/>
      <c r="O23" s="171"/>
      <c r="P23" s="171"/>
    </row>
    <row r="24" spans="1:16" ht="28.5" x14ac:dyDescent="0.2">
      <c r="A24" s="6" t="s">
        <v>198</v>
      </c>
      <c r="B24" s="22">
        <f>'6. sz. tábla '!B33</f>
        <v>0</v>
      </c>
      <c r="C24" s="22">
        <f>'6. sz. tábla '!C33</f>
        <v>0</v>
      </c>
      <c r="D24" s="22">
        <f>'6. sz. tábla '!D33</f>
        <v>1915</v>
      </c>
      <c r="E24" s="22">
        <f>'6. sz. tábla '!E33</f>
        <v>1915</v>
      </c>
      <c r="F24" s="22">
        <f>'6. sz. tábla '!F33</f>
        <v>1915</v>
      </c>
      <c r="G24" s="22">
        <f>'6. sz. tábla '!G33</f>
        <v>1915</v>
      </c>
      <c r="H24" s="22">
        <f>'6. sz. tábla '!H33</f>
        <v>0</v>
      </c>
      <c r="I24" s="25" t="s">
        <v>153</v>
      </c>
      <c r="J24" s="22">
        <f>'6. sz. tábla '!J33</f>
        <v>12281</v>
      </c>
      <c r="K24" s="22">
        <f>'6. sz. tábla '!K33</f>
        <v>15185</v>
      </c>
      <c r="L24" s="22">
        <f>'6. sz. tábla '!L33</f>
        <v>30251</v>
      </c>
      <c r="M24" s="22">
        <f>'6. sz. tábla '!M33</f>
        <v>34141</v>
      </c>
      <c r="N24" s="22">
        <f>'6. sz. tábla '!N33</f>
        <v>43907</v>
      </c>
      <c r="O24" s="22">
        <f>'6. sz. tábla '!O33</f>
        <v>43907</v>
      </c>
      <c r="P24" s="22">
        <f>'6. sz. tábla '!P33</f>
        <v>0</v>
      </c>
    </row>
    <row r="25" spans="1:16" ht="14.25" x14ac:dyDescent="0.2">
      <c r="A25" s="24"/>
      <c r="B25" s="22"/>
      <c r="C25" s="22"/>
      <c r="D25" s="171"/>
      <c r="E25" s="171"/>
      <c r="F25" s="171"/>
      <c r="G25" s="171"/>
      <c r="H25" s="171"/>
      <c r="I25" s="25" t="s">
        <v>199</v>
      </c>
      <c r="J25" s="22"/>
      <c r="K25" s="22"/>
      <c r="L25" s="171"/>
      <c r="M25" s="171"/>
      <c r="N25" s="171"/>
      <c r="O25" s="171"/>
      <c r="P25" s="171"/>
    </row>
    <row r="26" spans="1:16" ht="28.5" x14ac:dyDescent="0.2">
      <c r="A26" s="24"/>
      <c r="B26" s="22"/>
      <c r="C26" s="22"/>
      <c r="D26" s="171"/>
      <c r="E26" s="171"/>
      <c r="F26" s="171"/>
      <c r="G26" s="171"/>
      <c r="H26" s="171"/>
      <c r="I26" s="25" t="s">
        <v>200</v>
      </c>
      <c r="J26" s="22"/>
      <c r="K26" s="22"/>
      <c r="L26" s="171"/>
      <c r="M26" s="171"/>
      <c r="N26" s="171"/>
      <c r="O26" s="171"/>
      <c r="P26" s="171"/>
    </row>
    <row r="27" spans="1:16" ht="28.5" x14ac:dyDescent="0.2">
      <c r="A27" s="24"/>
      <c r="B27" s="22"/>
      <c r="C27" s="22"/>
      <c r="D27" s="171"/>
      <c r="E27" s="171"/>
      <c r="F27" s="171"/>
      <c r="G27" s="171"/>
      <c r="H27" s="171"/>
      <c r="I27" s="35" t="s">
        <v>201</v>
      </c>
      <c r="J27" s="22"/>
      <c r="K27" s="22"/>
      <c r="L27" s="171"/>
      <c r="M27" s="171"/>
      <c r="N27" s="171"/>
      <c r="O27" s="171"/>
      <c r="P27" s="171"/>
    </row>
    <row r="28" spans="1:16" ht="42.75" x14ac:dyDescent="0.2">
      <c r="A28" s="36"/>
      <c r="B28" s="22"/>
      <c r="C28" s="22"/>
      <c r="D28" s="171"/>
      <c r="E28" s="171"/>
      <c r="F28" s="171"/>
      <c r="G28" s="171"/>
      <c r="H28" s="171"/>
      <c r="I28" s="25" t="s">
        <v>202</v>
      </c>
      <c r="J28" s="22"/>
      <c r="K28" s="22"/>
      <c r="L28" s="171"/>
      <c r="M28" s="171"/>
      <c r="N28" s="171"/>
      <c r="O28" s="171"/>
      <c r="P28" s="171"/>
    </row>
    <row r="29" spans="1:16" s="29" customFormat="1" ht="30" x14ac:dyDescent="0.25">
      <c r="A29" s="18" t="s">
        <v>203</v>
      </c>
      <c r="B29" s="28">
        <f t="shared" ref="B29:H29" si="4">SUM(B22:B28)</f>
        <v>5000</v>
      </c>
      <c r="C29" s="28">
        <f t="shared" si="4"/>
        <v>5000</v>
      </c>
      <c r="D29" s="28">
        <f t="shared" si="4"/>
        <v>19665</v>
      </c>
      <c r="E29" s="28">
        <f t="shared" si="4"/>
        <v>19665</v>
      </c>
      <c r="F29" s="28">
        <f t="shared" si="4"/>
        <v>24431</v>
      </c>
      <c r="G29" s="28">
        <f t="shared" si="4"/>
        <v>24431</v>
      </c>
      <c r="H29" s="61">
        <f t="shared" si="4"/>
        <v>0</v>
      </c>
      <c r="I29" s="19" t="s">
        <v>191</v>
      </c>
      <c r="J29" s="28">
        <f t="shared" ref="J29:P29" si="5">SUM(J22:J28)</f>
        <v>16481</v>
      </c>
      <c r="K29" s="28">
        <f t="shared" si="5"/>
        <v>20439</v>
      </c>
      <c r="L29" s="28">
        <f t="shared" si="5"/>
        <v>35505</v>
      </c>
      <c r="M29" s="28">
        <f t="shared" si="5"/>
        <v>39395</v>
      </c>
      <c r="N29" s="28">
        <f t="shared" si="5"/>
        <v>49161</v>
      </c>
      <c r="O29" s="28">
        <f t="shared" si="5"/>
        <v>49161</v>
      </c>
      <c r="P29" s="61">
        <f t="shared" si="5"/>
        <v>0</v>
      </c>
    </row>
    <row r="30" spans="1:16" ht="15" customHeight="1" x14ac:dyDescent="0.2">
      <c r="A30" s="30" t="s">
        <v>192</v>
      </c>
      <c r="B30" s="22"/>
      <c r="C30" s="22"/>
      <c r="D30" s="171"/>
      <c r="E30" s="171"/>
      <c r="F30" s="171"/>
      <c r="G30" s="171"/>
      <c r="H30" s="171"/>
      <c r="I30" s="31" t="s">
        <v>193</v>
      </c>
      <c r="J30" s="22"/>
      <c r="K30" s="22"/>
      <c r="L30" s="171"/>
      <c r="M30" s="171"/>
      <c r="N30" s="171"/>
      <c r="O30" s="171"/>
      <c r="P30" s="171"/>
    </row>
    <row r="31" spans="1:16" ht="45" x14ac:dyDescent="0.25">
      <c r="A31" s="32" t="s">
        <v>204</v>
      </c>
      <c r="B31" s="28">
        <f t="shared" ref="B31:H31" si="6">B29+B30</f>
        <v>5000</v>
      </c>
      <c r="C31" s="28">
        <f t="shared" si="6"/>
        <v>5000</v>
      </c>
      <c r="D31" s="28">
        <f t="shared" si="6"/>
        <v>19665</v>
      </c>
      <c r="E31" s="28">
        <f t="shared" si="6"/>
        <v>19665</v>
      </c>
      <c r="F31" s="28">
        <f t="shared" si="6"/>
        <v>24431</v>
      </c>
      <c r="G31" s="28">
        <f t="shared" si="6"/>
        <v>24431</v>
      </c>
      <c r="H31" s="61">
        <f t="shared" si="6"/>
        <v>0</v>
      </c>
      <c r="I31" s="37" t="s">
        <v>205</v>
      </c>
      <c r="J31" s="28">
        <f t="shared" ref="J31:P31" si="7">J29+J30</f>
        <v>16481</v>
      </c>
      <c r="K31" s="28">
        <f t="shared" si="7"/>
        <v>20439</v>
      </c>
      <c r="L31" s="28">
        <f t="shared" si="7"/>
        <v>35505</v>
      </c>
      <c r="M31" s="28">
        <f t="shared" si="7"/>
        <v>39395</v>
      </c>
      <c r="N31" s="28">
        <f t="shared" si="7"/>
        <v>49161</v>
      </c>
      <c r="O31" s="28">
        <f t="shared" si="7"/>
        <v>49161</v>
      </c>
      <c r="P31" s="61">
        <f t="shared" si="7"/>
        <v>0</v>
      </c>
    </row>
    <row r="32" spans="1:16" x14ac:dyDescent="0.2">
      <c r="B32" s="103">
        <f t="shared" ref="B32:H32" si="8">B31+B20</f>
        <v>92528</v>
      </c>
      <c r="C32" s="103">
        <f t="shared" si="8"/>
        <v>94250</v>
      </c>
      <c r="D32" s="103">
        <f t="shared" si="8"/>
        <v>111357</v>
      </c>
      <c r="E32" s="103">
        <f t="shared" si="8"/>
        <v>111357</v>
      </c>
      <c r="F32" s="103">
        <f t="shared" si="8"/>
        <v>122650</v>
      </c>
      <c r="G32" s="103">
        <f t="shared" si="8"/>
        <v>123607</v>
      </c>
      <c r="H32" s="103">
        <f t="shared" si="8"/>
        <v>957</v>
      </c>
      <c r="J32" s="103">
        <f t="shared" ref="J32:P32" si="9">J31+J20</f>
        <v>87277</v>
      </c>
      <c r="K32" s="103">
        <f t="shared" si="9"/>
        <v>88863</v>
      </c>
      <c r="L32" s="103">
        <f t="shared" si="9"/>
        <v>105961</v>
      </c>
      <c r="M32" s="103">
        <f t="shared" si="9"/>
        <v>105961</v>
      </c>
      <c r="N32" s="103">
        <f t="shared" si="9"/>
        <v>117254</v>
      </c>
      <c r="O32" s="103">
        <f t="shared" si="9"/>
        <v>118211</v>
      </c>
      <c r="P32" s="103">
        <f t="shared" si="9"/>
        <v>957</v>
      </c>
    </row>
    <row r="33" spans="1:16" ht="15.75" customHeight="1" x14ac:dyDescent="0.25">
      <c r="A33" s="500" t="s">
        <v>283</v>
      </c>
      <c r="B33" s="500"/>
      <c r="C33" s="500"/>
      <c r="D33" s="500"/>
      <c r="E33" s="500"/>
      <c r="F33" s="500"/>
      <c r="G33" s="500"/>
      <c r="H33" s="500"/>
      <c r="I33" s="500"/>
      <c r="J33" s="500"/>
    </row>
    <row r="34" spans="1:16" ht="13.5" thickBot="1" x14ac:dyDescent="0.25"/>
    <row r="35" spans="1:16" s="94" customFormat="1" ht="29.25" thickBot="1" x14ac:dyDescent="0.3">
      <c r="A35" s="38" t="s">
        <v>126</v>
      </c>
      <c r="B35" s="193" t="s">
        <v>391</v>
      </c>
      <c r="C35" s="194" t="s">
        <v>392</v>
      </c>
      <c r="D35" s="430" t="s">
        <v>409</v>
      </c>
      <c r="E35" s="430" t="s">
        <v>416</v>
      </c>
      <c r="F35" s="430" t="s">
        <v>420</v>
      </c>
      <c r="G35" s="430" t="s">
        <v>424</v>
      </c>
      <c r="H35" s="193" t="s">
        <v>393</v>
      </c>
      <c r="I35" s="39" t="s">
        <v>127</v>
      </c>
      <c r="J35" s="193" t="s">
        <v>391</v>
      </c>
      <c r="K35" s="194" t="s">
        <v>392</v>
      </c>
      <c r="L35" s="430" t="s">
        <v>409</v>
      </c>
      <c r="M35" s="430" t="s">
        <v>416</v>
      </c>
      <c r="N35" s="430" t="s">
        <v>420</v>
      </c>
      <c r="O35" s="430" t="s">
        <v>424</v>
      </c>
      <c r="P35" s="193" t="s">
        <v>393</v>
      </c>
    </row>
    <row r="36" spans="1:16" ht="15" x14ac:dyDescent="0.25">
      <c r="A36" s="20" t="s">
        <v>188</v>
      </c>
      <c r="B36" s="97"/>
      <c r="C36" s="97"/>
      <c r="D36" s="170"/>
      <c r="E36" s="170"/>
      <c r="F36" s="170"/>
      <c r="G36" s="170"/>
      <c r="H36" s="170"/>
      <c r="I36" s="19" t="s">
        <v>16</v>
      </c>
      <c r="J36" s="102"/>
      <c r="K36" s="102"/>
      <c r="L36" s="176"/>
      <c r="M36" s="176"/>
      <c r="N36" s="176"/>
      <c r="O36" s="176"/>
      <c r="P36" s="176"/>
    </row>
    <row r="37" spans="1:16" ht="28.5" x14ac:dyDescent="0.2">
      <c r="A37" s="21" t="s">
        <v>189</v>
      </c>
      <c r="B37" s="22"/>
      <c r="C37" s="22"/>
      <c r="D37" s="171"/>
      <c r="E37" s="171"/>
      <c r="F37" s="171"/>
      <c r="G37" s="171"/>
      <c r="H37" s="171"/>
      <c r="I37" s="23" t="s">
        <v>112</v>
      </c>
      <c r="J37" s="22"/>
      <c r="K37" s="22"/>
      <c r="L37" s="171"/>
      <c r="M37" s="171"/>
      <c r="N37" s="171"/>
      <c r="O37" s="171"/>
      <c r="P37" s="171"/>
    </row>
    <row r="38" spans="1:16" ht="14.25" x14ac:dyDescent="0.2">
      <c r="A38" s="24" t="s">
        <v>129</v>
      </c>
      <c r="B38" s="22"/>
      <c r="C38" s="22"/>
      <c r="D38" s="171"/>
      <c r="E38" s="171"/>
      <c r="F38" s="171"/>
      <c r="G38" s="171"/>
      <c r="H38" s="171"/>
      <c r="I38" s="25" t="s">
        <v>109</v>
      </c>
      <c r="J38" s="22"/>
      <c r="K38" s="22"/>
      <c r="L38" s="171"/>
      <c r="M38" s="171"/>
      <c r="N38" s="171"/>
      <c r="O38" s="171"/>
      <c r="P38" s="171"/>
    </row>
    <row r="39" spans="1:16" ht="14.25" x14ac:dyDescent="0.2">
      <c r="A39" s="26" t="s">
        <v>131</v>
      </c>
      <c r="B39" s="22"/>
      <c r="C39" s="22"/>
      <c r="D39" s="171"/>
      <c r="E39" s="171"/>
      <c r="F39" s="171"/>
      <c r="G39" s="171"/>
      <c r="H39" s="171"/>
      <c r="I39" s="25" t="s">
        <v>110</v>
      </c>
      <c r="J39" s="22"/>
      <c r="K39" s="22"/>
      <c r="L39" s="171"/>
      <c r="M39" s="171"/>
      <c r="N39" s="171"/>
      <c r="O39" s="171"/>
      <c r="P39" s="171"/>
    </row>
    <row r="40" spans="1:16" ht="28.5" x14ac:dyDescent="0.2">
      <c r="A40" s="7" t="s">
        <v>133</v>
      </c>
      <c r="B40" s="22"/>
      <c r="C40" s="22"/>
      <c r="D40" s="171"/>
      <c r="E40" s="171"/>
      <c r="F40" s="171"/>
      <c r="G40" s="171"/>
      <c r="H40" s="171"/>
      <c r="I40" s="23" t="s">
        <v>113</v>
      </c>
      <c r="J40" s="22"/>
      <c r="K40" s="22"/>
      <c r="L40" s="171"/>
      <c r="M40" s="171"/>
      <c r="N40" s="171"/>
      <c r="O40" s="171"/>
      <c r="P40" s="171"/>
    </row>
    <row r="41" spans="1:16" ht="14.25" x14ac:dyDescent="0.2">
      <c r="A41" s="24"/>
      <c r="B41" s="22"/>
      <c r="C41" s="22"/>
      <c r="D41" s="171"/>
      <c r="E41" s="171"/>
      <c r="F41" s="171"/>
      <c r="G41" s="171"/>
      <c r="H41" s="171"/>
      <c r="I41" s="25" t="s">
        <v>111</v>
      </c>
      <c r="J41" s="22"/>
      <c r="K41" s="22"/>
      <c r="L41" s="171"/>
      <c r="M41" s="171"/>
      <c r="N41" s="171"/>
      <c r="O41" s="171"/>
      <c r="P41" s="171"/>
    </row>
    <row r="42" spans="1:16" ht="14.25" x14ac:dyDescent="0.2">
      <c r="A42" s="26"/>
      <c r="B42" s="22"/>
      <c r="C42" s="22"/>
      <c r="D42" s="171"/>
      <c r="E42" s="171"/>
      <c r="F42" s="171"/>
      <c r="G42" s="171"/>
      <c r="H42" s="171"/>
      <c r="I42" s="13" t="s">
        <v>258</v>
      </c>
      <c r="J42" s="22"/>
      <c r="K42" s="22"/>
      <c r="L42" s="171"/>
      <c r="M42" s="171"/>
      <c r="N42" s="171"/>
      <c r="O42" s="171"/>
      <c r="P42" s="171"/>
    </row>
    <row r="43" spans="1:16" ht="28.5" x14ac:dyDescent="0.2">
      <c r="A43" s="26"/>
      <c r="B43" s="22"/>
      <c r="C43" s="22"/>
      <c r="D43" s="171"/>
      <c r="E43" s="171"/>
      <c r="F43" s="171"/>
      <c r="G43" s="171"/>
      <c r="H43" s="171"/>
      <c r="I43" s="13" t="s">
        <v>259</v>
      </c>
      <c r="J43" s="22">
        <f>'4. sz. tábla'!B5+'4. sz. tábla'!B10+'4. sz. tábla'!B11</f>
        <v>4616</v>
      </c>
      <c r="K43" s="22">
        <f>'4. sz. tábla'!C5+'4. sz. tábla'!C10+'4. sz. tábla'!C11</f>
        <v>4681</v>
      </c>
      <c r="L43" s="22">
        <f>'4. sz. tábla'!D5+'4. sz. tábla'!D10+'4. sz. tábla'!D11</f>
        <v>4681</v>
      </c>
      <c r="M43" s="22">
        <f>'4. sz. tábla'!E5+'4. sz. tábla'!E10+'4. sz. tábla'!E11</f>
        <v>4681</v>
      </c>
      <c r="N43" s="22">
        <f>'4. sz. tábla'!F5+'4. sz. tábla'!F10+'4. sz. tábla'!F11</f>
        <v>4681</v>
      </c>
      <c r="O43" s="22">
        <f>'4. sz. tábla'!G5+'4. sz. tábla'!G10+'4. sz. tábla'!G11</f>
        <v>4681</v>
      </c>
      <c r="P43" s="22">
        <f>'4. sz. tábla'!H5+'4. sz. tábla'!H10+'4. sz. tábla'!H11</f>
        <v>0</v>
      </c>
    </row>
    <row r="44" spans="1:16" ht="28.5" x14ac:dyDescent="0.2">
      <c r="A44" s="21"/>
      <c r="B44" s="22"/>
      <c r="C44" s="99"/>
      <c r="D44" s="172"/>
      <c r="E44" s="172"/>
      <c r="F44" s="172"/>
      <c r="G44" s="172"/>
      <c r="H44" s="172"/>
      <c r="I44" s="145" t="s">
        <v>260</v>
      </c>
      <c r="J44" s="22">
        <f>'4. sz. tábla'!B14+'4. sz. tábla'!B24</f>
        <v>635</v>
      </c>
      <c r="K44" s="22">
        <f>'4. sz. tábla'!C14+'4. sz. tábla'!C24+'4. sz. tábla'!C18</f>
        <v>635</v>
      </c>
      <c r="L44" s="22">
        <f>'4. sz. tábla'!D14+'4. sz. tábla'!D24+'4. sz. tábla'!D18</f>
        <v>644</v>
      </c>
      <c r="M44" s="22">
        <f>'4. sz. tábla'!E14+'4. sz. tábla'!E24+'4. sz. tábla'!E18</f>
        <v>644</v>
      </c>
      <c r="N44" s="22">
        <f>'4. sz. tábla'!F14+'4. sz. tábla'!F24+'4. sz. tábla'!F18</f>
        <v>644</v>
      </c>
      <c r="O44" s="22">
        <f>'4. sz. tábla'!G14+'4. sz. tábla'!G24+'4. sz. tábla'!G18</f>
        <v>644</v>
      </c>
      <c r="P44" s="22">
        <f>'4. sz. tábla'!H14+'4. sz. tábla'!H24</f>
        <v>0</v>
      </c>
    </row>
    <row r="45" spans="1:16" ht="33" customHeight="1" x14ac:dyDescent="0.2">
      <c r="A45" s="27"/>
      <c r="B45" s="22"/>
      <c r="C45" s="22"/>
      <c r="D45" s="171"/>
      <c r="E45" s="171"/>
      <c r="F45" s="171"/>
      <c r="G45" s="171"/>
      <c r="H45" s="171"/>
      <c r="I45" s="13" t="s">
        <v>261</v>
      </c>
      <c r="J45" s="22"/>
      <c r="K45" s="22"/>
      <c r="L45" s="171"/>
      <c r="M45" s="171"/>
      <c r="N45" s="171"/>
      <c r="O45" s="171"/>
      <c r="P45" s="171"/>
    </row>
    <row r="46" spans="1:16" ht="14.25" x14ac:dyDescent="0.2">
      <c r="A46" s="24"/>
      <c r="B46" s="22"/>
      <c r="C46" s="22"/>
      <c r="D46" s="171"/>
      <c r="E46" s="171"/>
      <c r="F46" s="171"/>
      <c r="G46" s="171"/>
      <c r="H46" s="171"/>
      <c r="I46" s="146" t="s">
        <v>253</v>
      </c>
      <c r="J46" s="22"/>
      <c r="K46" s="22"/>
      <c r="L46" s="171"/>
      <c r="M46" s="171"/>
      <c r="N46" s="171"/>
      <c r="O46" s="171"/>
      <c r="P46" s="171"/>
    </row>
    <row r="47" spans="1:16" ht="45" x14ac:dyDescent="0.25">
      <c r="A47" s="18" t="s">
        <v>206</v>
      </c>
      <c r="B47" s="28">
        <f t="shared" ref="B47:H47" si="10">SUM(B37:B46)</f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8">
        <f t="shared" si="10"/>
        <v>0</v>
      </c>
      <c r="G47" s="28">
        <f t="shared" si="10"/>
        <v>0</v>
      </c>
      <c r="H47" s="61">
        <f t="shared" si="10"/>
        <v>0</v>
      </c>
      <c r="I47" s="19" t="s">
        <v>207</v>
      </c>
      <c r="J47" s="28">
        <f t="shared" ref="J47:P47" si="11">SUM(J37:J46)</f>
        <v>5251</v>
      </c>
      <c r="K47" s="28">
        <f t="shared" si="11"/>
        <v>5316</v>
      </c>
      <c r="L47" s="28">
        <f t="shared" si="11"/>
        <v>5325</v>
      </c>
      <c r="M47" s="28">
        <f t="shared" si="11"/>
        <v>5325</v>
      </c>
      <c r="N47" s="28">
        <f t="shared" si="11"/>
        <v>5325</v>
      </c>
      <c r="O47" s="28">
        <f t="shared" si="11"/>
        <v>5325</v>
      </c>
      <c r="P47" s="61">
        <f t="shared" si="11"/>
        <v>0</v>
      </c>
    </row>
    <row r="48" spans="1:16" ht="14.25" x14ac:dyDescent="0.2">
      <c r="A48" s="30" t="s">
        <v>192</v>
      </c>
      <c r="B48" s="22"/>
      <c r="C48" s="22"/>
      <c r="D48" s="171"/>
      <c r="E48" s="171"/>
      <c r="F48" s="171"/>
      <c r="G48" s="171"/>
      <c r="H48" s="171"/>
      <c r="I48" s="31" t="s">
        <v>193</v>
      </c>
      <c r="J48" s="22"/>
      <c r="K48" s="22"/>
      <c r="L48" s="171"/>
      <c r="M48" s="171"/>
      <c r="N48" s="171"/>
      <c r="O48" s="171"/>
      <c r="P48" s="171"/>
    </row>
    <row r="49" spans="1:16" ht="45" x14ac:dyDescent="0.25">
      <c r="A49" s="18" t="s">
        <v>208</v>
      </c>
      <c r="B49" s="28">
        <f t="shared" ref="B49:H49" si="12">B47+B48</f>
        <v>0</v>
      </c>
      <c r="C49" s="28">
        <f t="shared" si="12"/>
        <v>0</v>
      </c>
      <c r="D49" s="28">
        <f t="shared" si="12"/>
        <v>0</v>
      </c>
      <c r="E49" s="28">
        <f t="shared" si="12"/>
        <v>0</v>
      </c>
      <c r="F49" s="28">
        <f t="shared" si="12"/>
        <v>0</v>
      </c>
      <c r="G49" s="28">
        <f t="shared" si="12"/>
        <v>0</v>
      </c>
      <c r="H49" s="61">
        <f t="shared" si="12"/>
        <v>0</v>
      </c>
      <c r="I49" s="19" t="s">
        <v>209</v>
      </c>
      <c r="J49" s="28">
        <f t="shared" ref="J49:P49" si="13">J47+J48</f>
        <v>5251</v>
      </c>
      <c r="K49" s="28">
        <f t="shared" si="13"/>
        <v>5316</v>
      </c>
      <c r="L49" s="28">
        <f t="shared" si="13"/>
        <v>5325</v>
      </c>
      <c r="M49" s="28">
        <f t="shared" si="13"/>
        <v>5325</v>
      </c>
      <c r="N49" s="28">
        <f t="shared" si="13"/>
        <v>5325</v>
      </c>
      <c r="O49" s="28">
        <f t="shared" si="13"/>
        <v>5325</v>
      </c>
      <c r="P49" s="61">
        <f t="shared" si="13"/>
        <v>0</v>
      </c>
    </row>
    <row r="50" spans="1:16" ht="15" x14ac:dyDescent="0.25">
      <c r="A50" s="18" t="s">
        <v>196</v>
      </c>
      <c r="B50" s="33"/>
      <c r="C50" s="33"/>
      <c r="D50" s="33"/>
      <c r="E50" s="33"/>
      <c r="F50" s="33"/>
      <c r="G50" s="33"/>
      <c r="H50" s="33"/>
      <c r="I50" s="41" t="s">
        <v>18</v>
      </c>
      <c r="J50" s="101"/>
      <c r="K50" s="101"/>
      <c r="L50" s="101"/>
      <c r="M50" s="101"/>
      <c r="N50" s="101"/>
      <c r="O50" s="101"/>
      <c r="P50" s="101"/>
    </row>
    <row r="51" spans="1:16" ht="28.5" x14ac:dyDescent="0.2">
      <c r="A51" s="7" t="s">
        <v>148</v>
      </c>
      <c r="B51" s="22"/>
      <c r="C51" s="22"/>
      <c r="D51" s="171"/>
      <c r="E51" s="171"/>
      <c r="F51" s="171"/>
      <c r="G51" s="171"/>
      <c r="H51" s="171"/>
      <c r="I51" s="23" t="s">
        <v>149</v>
      </c>
      <c r="J51" s="22"/>
      <c r="K51" s="22"/>
      <c r="L51" s="171"/>
      <c r="M51" s="171"/>
      <c r="N51" s="171"/>
      <c r="O51" s="171"/>
      <c r="P51" s="171"/>
    </row>
    <row r="52" spans="1:16" ht="14.25" x14ac:dyDescent="0.2">
      <c r="A52" s="6" t="s">
        <v>197</v>
      </c>
      <c r="B52" s="22"/>
      <c r="C52" s="22"/>
      <c r="D52" s="171"/>
      <c r="E52" s="171"/>
      <c r="F52" s="171"/>
      <c r="G52" s="171"/>
      <c r="H52" s="171"/>
      <c r="I52" s="25" t="s">
        <v>151</v>
      </c>
      <c r="J52" s="22"/>
      <c r="K52" s="22"/>
      <c r="L52" s="171"/>
      <c r="M52" s="171"/>
      <c r="N52" s="171"/>
      <c r="O52" s="171"/>
      <c r="P52" s="171"/>
    </row>
    <row r="53" spans="1:16" ht="28.5" x14ac:dyDescent="0.2">
      <c r="A53" s="6" t="s">
        <v>198</v>
      </c>
      <c r="B53" s="22"/>
      <c r="C53" s="40"/>
      <c r="D53" s="175"/>
      <c r="E53" s="175"/>
      <c r="F53" s="175"/>
      <c r="G53" s="175"/>
      <c r="H53" s="175"/>
      <c r="I53" s="25" t="s">
        <v>153</v>
      </c>
      <c r="J53" s="22"/>
      <c r="K53" s="22"/>
      <c r="L53" s="171"/>
      <c r="M53" s="171"/>
      <c r="N53" s="171"/>
      <c r="O53" s="171"/>
      <c r="P53" s="171"/>
    </row>
    <row r="54" spans="1:16" ht="14.25" x14ac:dyDescent="0.2">
      <c r="A54" s="42"/>
      <c r="B54" s="22"/>
      <c r="C54" s="22"/>
      <c r="D54" s="171"/>
      <c r="E54" s="171"/>
      <c r="F54" s="171"/>
      <c r="G54" s="171"/>
      <c r="H54" s="171"/>
      <c r="I54" s="25" t="s">
        <v>199</v>
      </c>
      <c r="J54" s="22"/>
      <c r="K54" s="22"/>
      <c r="L54" s="22"/>
      <c r="M54" s="22"/>
      <c r="N54" s="22"/>
      <c r="O54" s="22"/>
      <c r="P54" s="22"/>
    </row>
    <row r="55" spans="1:16" ht="28.5" x14ac:dyDescent="0.2">
      <c r="A55" s="42"/>
      <c r="B55" s="22"/>
      <c r="C55" s="22"/>
      <c r="D55" s="171"/>
      <c r="E55" s="171"/>
      <c r="F55" s="171"/>
      <c r="G55" s="171"/>
      <c r="H55" s="171"/>
      <c r="I55" s="25" t="s">
        <v>200</v>
      </c>
      <c r="J55" s="22"/>
      <c r="K55" s="22"/>
      <c r="L55" s="171"/>
      <c r="M55" s="171"/>
      <c r="N55" s="171"/>
      <c r="O55" s="171"/>
      <c r="P55" s="171"/>
    </row>
    <row r="56" spans="1:16" ht="28.5" x14ac:dyDescent="0.2">
      <c r="A56" s="42"/>
      <c r="B56" s="22"/>
      <c r="C56" s="22"/>
      <c r="D56" s="171"/>
      <c r="E56" s="171"/>
      <c r="F56" s="171"/>
      <c r="G56" s="171"/>
      <c r="H56" s="171"/>
      <c r="I56" s="35" t="s">
        <v>201</v>
      </c>
      <c r="J56" s="22">
        <f>'6. sz. tábla '!J36</f>
        <v>0</v>
      </c>
      <c r="K56" s="22">
        <f>'6. sz. tábla '!K36</f>
        <v>71</v>
      </c>
      <c r="L56" s="22">
        <f>'6. sz. tábla '!L36</f>
        <v>71</v>
      </c>
      <c r="M56" s="22">
        <f>'6. sz. tábla '!M36</f>
        <v>71</v>
      </c>
      <c r="N56" s="22">
        <f>'6. sz. tábla '!N36</f>
        <v>71</v>
      </c>
      <c r="O56" s="22">
        <f>'6. sz. tábla '!O36</f>
        <v>71</v>
      </c>
      <c r="P56" s="22">
        <f>'6. sz. tábla '!P36</f>
        <v>0</v>
      </c>
    </row>
    <row r="57" spans="1:16" ht="34.5" customHeight="1" x14ac:dyDescent="0.2">
      <c r="A57" s="43"/>
      <c r="B57" s="22"/>
      <c r="C57" s="22"/>
      <c r="D57" s="171"/>
      <c r="E57" s="171"/>
      <c r="F57" s="171"/>
      <c r="G57" s="171"/>
      <c r="H57" s="171"/>
      <c r="I57" s="13" t="s">
        <v>266</v>
      </c>
      <c r="J57" s="22"/>
      <c r="K57" s="22"/>
      <c r="L57" s="171"/>
      <c r="M57" s="171"/>
      <c r="N57" s="171"/>
      <c r="O57" s="171"/>
      <c r="P57" s="171"/>
    </row>
    <row r="58" spans="1:16" ht="32.25" customHeight="1" x14ac:dyDescent="0.2">
      <c r="A58" s="43"/>
      <c r="B58" s="22"/>
      <c r="C58" s="22"/>
      <c r="D58" s="171"/>
      <c r="E58" s="171"/>
      <c r="F58" s="171"/>
      <c r="G58" s="171"/>
      <c r="H58" s="171"/>
      <c r="I58" s="13" t="s">
        <v>202</v>
      </c>
      <c r="J58" s="22"/>
      <c r="K58" s="22"/>
      <c r="L58" s="171"/>
      <c r="M58" s="171"/>
      <c r="N58" s="171"/>
      <c r="O58" s="171"/>
      <c r="P58" s="171"/>
    </row>
    <row r="59" spans="1:16" ht="45" x14ac:dyDescent="0.25">
      <c r="A59" s="38" t="s">
        <v>210</v>
      </c>
      <c r="B59" s="28">
        <f t="shared" ref="B59:H59" si="14">SUM(B51:B57)</f>
        <v>0</v>
      </c>
      <c r="C59" s="28">
        <f t="shared" si="14"/>
        <v>0</v>
      </c>
      <c r="D59" s="28">
        <f t="shared" si="14"/>
        <v>0</v>
      </c>
      <c r="E59" s="28">
        <f t="shared" si="14"/>
        <v>0</v>
      </c>
      <c r="F59" s="28">
        <f t="shared" si="14"/>
        <v>0</v>
      </c>
      <c r="G59" s="28">
        <f t="shared" si="14"/>
        <v>0</v>
      </c>
      <c r="H59" s="61">
        <f t="shared" si="14"/>
        <v>0</v>
      </c>
      <c r="I59" s="19" t="s">
        <v>211</v>
      </c>
      <c r="J59" s="28">
        <f>SUM(J51:J57)</f>
        <v>0</v>
      </c>
      <c r="K59" s="28">
        <f>SUM(K51:K57)</f>
        <v>71</v>
      </c>
      <c r="L59" s="28">
        <f>SUM(L51:L57)</f>
        <v>71</v>
      </c>
      <c r="M59" s="28">
        <f>SUM(M51:M57)</f>
        <v>71</v>
      </c>
      <c r="N59" s="28">
        <f>SUM(N51:N57)</f>
        <v>71</v>
      </c>
      <c r="O59" s="28">
        <f>SUM(O51:O57)</f>
        <v>71</v>
      </c>
      <c r="P59" s="61">
        <f>SUM(P51:P58)</f>
        <v>0</v>
      </c>
    </row>
    <row r="60" spans="1:16" ht="14.25" x14ac:dyDescent="0.2">
      <c r="A60" s="44" t="s">
        <v>192</v>
      </c>
      <c r="B60" s="22"/>
      <c r="C60" s="22"/>
      <c r="D60" s="171"/>
      <c r="E60" s="171"/>
      <c r="F60" s="171"/>
      <c r="G60" s="171"/>
      <c r="H60" s="171"/>
      <c r="I60" s="31" t="s">
        <v>193</v>
      </c>
      <c r="J60" s="22"/>
      <c r="K60" s="100"/>
      <c r="L60" s="174"/>
      <c r="M60" s="174"/>
      <c r="N60" s="174"/>
      <c r="O60" s="174"/>
      <c r="P60" s="174"/>
    </row>
    <row r="61" spans="1:16" ht="14.25" x14ac:dyDescent="0.2">
      <c r="A61" s="44"/>
      <c r="B61" s="22"/>
      <c r="C61" s="22"/>
      <c r="D61" s="171"/>
      <c r="E61" s="171"/>
      <c r="F61" s="171"/>
      <c r="G61" s="171"/>
      <c r="H61" s="171"/>
      <c r="I61" s="25"/>
      <c r="J61" s="22"/>
      <c r="K61" s="100"/>
      <c r="L61" s="174"/>
      <c r="M61" s="174"/>
      <c r="N61" s="174"/>
      <c r="O61" s="174"/>
      <c r="P61" s="174"/>
    </row>
    <row r="62" spans="1:16" ht="45" x14ac:dyDescent="0.25">
      <c r="A62" s="45" t="s">
        <v>212</v>
      </c>
      <c r="B62" s="28">
        <f t="shared" ref="B62:H62" si="15">B59+B60</f>
        <v>0</v>
      </c>
      <c r="C62" s="28">
        <f t="shared" si="15"/>
        <v>0</v>
      </c>
      <c r="D62" s="28">
        <f t="shared" si="15"/>
        <v>0</v>
      </c>
      <c r="E62" s="28">
        <f t="shared" si="15"/>
        <v>0</v>
      </c>
      <c r="F62" s="28">
        <f t="shared" si="15"/>
        <v>0</v>
      </c>
      <c r="G62" s="28">
        <f t="shared" si="15"/>
        <v>0</v>
      </c>
      <c r="H62" s="61">
        <f t="shared" si="15"/>
        <v>0</v>
      </c>
      <c r="I62" s="37" t="s">
        <v>213</v>
      </c>
      <c r="J62" s="28">
        <f t="shared" ref="J62:P62" si="16">J59+J60</f>
        <v>0</v>
      </c>
      <c r="K62" s="28">
        <f t="shared" si="16"/>
        <v>71</v>
      </c>
      <c r="L62" s="28">
        <f t="shared" si="16"/>
        <v>71</v>
      </c>
      <c r="M62" s="28">
        <f t="shared" si="16"/>
        <v>71</v>
      </c>
      <c r="N62" s="28">
        <f t="shared" si="16"/>
        <v>71</v>
      </c>
      <c r="O62" s="28">
        <f t="shared" si="16"/>
        <v>71</v>
      </c>
      <c r="P62" s="61">
        <f t="shared" si="16"/>
        <v>0</v>
      </c>
    </row>
    <row r="63" spans="1:16" x14ac:dyDescent="0.2">
      <c r="A63" s="46"/>
      <c r="B63" s="107">
        <f t="shared" ref="B63:H63" si="17">B62+B49</f>
        <v>0</v>
      </c>
      <c r="C63" s="107">
        <f t="shared" si="17"/>
        <v>0</v>
      </c>
      <c r="D63" s="107">
        <f t="shared" si="17"/>
        <v>0</v>
      </c>
      <c r="E63" s="107">
        <f t="shared" si="17"/>
        <v>0</v>
      </c>
      <c r="F63" s="107">
        <f t="shared" si="17"/>
        <v>0</v>
      </c>
      <c r="G63" s="107">
        <f t="shared" si="17"/>
        <v>0</v>
      </c>
      <c r="H63" s="107">
        <f t="shared" si="17"/>
        <v>0</v>
      </c>
      <c r="I63" s="47"/>
      <c r="J63" s="103">
        <f t="shared" ref="J63:P63" si="18">J62+J49</f>
        <v>5251</v>
      </c>
      <c r="K63" s="103">
        <f t="shared" si="18"/>
        <v>5387</v>
      </c>
      <c r="L63" s="103">
        <f t="shared" si="18"/>
        <v>5396</v>
      </c>
      <c r="M63" s="103">
        <f t="shared" si="18"/>
        <v>5396</v>
      </c>
      <c r="N63" s="103">
        <f t="shared" si="18"/>
        <v>5396</v>
      </c>
      <c r="O63" s="103">
        <f t="shared" si="18"/>
        <v>5396</v>
      </c>
      <c r="P63" s="103">
        <f t="shared" si="18"/>
        <v>0</v>
      </c>
    </row>
    <row r="64" spans="1:16" ht="15.75" customHeight="1" x14ac:dyDescent="0.25">
      <c r="A64" s="500" t="s">
        <v>284</v>
      </c>
      <c r="B64" s="500"/>
      <c r="C64" s="500"/>
      <c r="D64" s="500"/>
      <c r="E64" s="500"/>
      <c r="F64" s="500"/>
      <c r="G64" s="500"/>
      <c r="H64" s="500"/>
      <c r="I64" s="500"/>
      <c r="J64" s="500"/>
    </row>
    <row r="65" spans="1:16" ht="13.5" thickBot="1" x14ac:dyDescent="0.25"/>
    <row r="66" spans="1:16" s="94" customFormat="1" ht="29.25" thickBot="1" x14ac:dyDescent="0.3">
      <c r="A66" s="38" t="s">
        <v>126</v>
      </c>
      <c r="B66" s="193" t="s">
        <v>391</v>
      </c>
      <c r="C66" s="194" t="s">
        <v>392</v>
      </c>
      <c r="D66" s="430" t="s">
        <v>409</v>
      </c>
      <c r="E66" s="430" t="s">
        <v>416</v>
      </c>
      <c r="F66" s="430" t="s">
        <v>420</v>
      </c>
      <c r="G66" s="430" t="s">
        <v>424</v>
      </c>
      <c r="H66" s="193" t="s">
        <v>393</v>
      </c>
      <c r="I66" s="39" t="s">
        <v>127</v>
      </c>
      <c r="J66" s="193" t="s">
        <v>391</v>
      </c>
      <c r="K66" s="194" t="s">
        <v>392</v>
      </c>
      <c r="L66" s="430" t="s">
        <v>409</v>
      </c>
      <c r="M66" s="430" t="s">
        <v>416</v>
      </c>
      <c r="N66" s="430" t="s">
        <v>420</v>
      </c>
      <c r="O66" s="430" t="s">
        <v>424</v>
      </c>
      <c r="P66" s="193" t="s">
        <v>393</v>
      </c>
    </row>
    <row r="67" spans="1:16" ht="15" x14ac:dyDescent="0.25">
      <c r="A67" s="48" t="s">
        <v>188</v>
      </c>
      <c r="B67" s="97"/>
      <c r="C67" s="97"/>
      <c r="D67" s="170"/>
      <c r="E67" s="170"/>
      <c r="F67" s="170"/>
      <c r="G67" s="170"/>
      <c r="H67" s="170"/>
      <c r="I67" s="39" t="s">
        <v>16</v>
      </c>
      <c r="J67" s="102"/>
      <c r="K67" s="102"/>
      <c r="L67" s="176"/>
      <c r="M67" s="176"/>
      <c r="N67" s="176"/>
      <c r="O67" s="176"/>
      <c r="P67" s="176"/>
    </row>
    <row r="68" spans="1:16" ht="28.5" x14ac:dyDescent="0.2">
      <c r="A68" s="49" t="s">
        <v>189</v>
      </c>
      <c r="B68" s="22"/>
      <c r="C68" s="22"/>
      <c r="D68" s="171"/>
      <c r="E68" s="171"/>
      <c r="F68" s="171"/>
      <c r="G68" s="171"/>
      <c r="H68" s="171"/>
      <c r="I68" s="23" t="s">
        <v>112</v>
      </c>
      <c r="J68" s="22"/>
      <c r="K68" s="22"/>
      <c r="L68" s="171"/>
      <c r="M68" s="171"/>
      <c r="N68" s="171"/>
      <c r="O68" s="171"/>
      <c r="P68" s="171"/>
    </row>
    <row r="69" spans="1:16" ht="14.25" x14ac:dyDescent="0.2">
      <c r="A69" s="42" t="s">
        <v>129</v>
      </c>
      <c r="B69" s="22"/>
      <c r="C69" s="22"/>
      <c r="D69" s="171"/>
      <c r="E69" s="171"/>
      <c r="F69" s="171"/>
      <c r="G69" s="171"/>
      <c r="H69" s="171"/>
      <c r="I69" s="178" t="s">
        <v>109</v>
      </c>
      <c r="J69" s="22"/>
      <c r="K69" s="22"/>
      <c r="L69" s="171"/>
      <c r="M69" s="171"/>
      <c r="N69" s="171"/>
      <c r="O69" s="171"/>
      <c r="P69" s="171"/>
    </row>
    <row r="70" spans="1:16" ht="14.25" x14ac:dyDescent="0.2">
      <c r="A70" s="26" t="s">
        <v>131</v>
      </c>
      <c r="B70" s="22">
        <v>0</v>
      </c>
      <c r="C70" s="22"/>
      <c r="D70" s="171"/>
      <c r="E70" s="171"/>
      <c r="F70" s="171"/>
      <c r="G70" s="171"/>
      <c r="H70" s="171"/>
      <c r="I70" s="178" t="s">
        <v>132</v>
      </c>
      <c r="J70" s="22"/>
      <c r="K70" s="22"/>
      <c r="L70" s="171"/>
      <c r="M70" s="171"/>
      <c r="N70" s="171"/>
      <c r="O70" s="171"/>
      <c r="P70" s="171"/>
    </row>
    <row r="71" spans="1:16" ht="28.5" x14ac:dyDescent="0.2">
      <c r="A71" s="7" t="s">
        <v>133</v>
      </c>
      <c r="B71" s="22"/>
      <c r="C71" s="22"/>
      <c r="D71" s="171"/>
      <c r="E71" s="171"/>
      <c r="F71" s="171"/>
      <c r="G71" s="171"/>
      <c r="H71" s="171"/>
      <c r="I71" s="179" t="s">
        <v>113</v>
      </c>
      <c r="J71" s="22"/>
      <c r="K71" s="22"/>
      <c r="L71" s="171"/>
      <c r="M71" s="171"/>
      <c r="N71" s="171"/>
      <c r="O71" s="171"/>
      <c r="P71" s="171"/>
    </row>
    <row r="72" spans="1:16" ht="14.25" x14ac:dyDescent="0.2">
      <c r="A72" s="42"/>
      <c r="B72" s="22"/>
      <c r="C72" s="22"/>
      <c r="D72" s="171"/>
      <c r="E72" s="171"/>
      <c r="F72" s="171"/>
      <c r="G72" s="171"/>
      <c r="H72" s="171"/>
      <c r="I72" s="178" t="s">
        <v>111</v>
      </c>
      <c r="J72" s="22"/>
      <c r="K72" s="22"/>
      <c r="L72" s="171"/>
      <c r="M72" s="171"/>
      <c r="N72" s="171"/>
      <c r="O72" s="171"/>
      <c r="P72" s="171"/>
    </row>
    <row r="73" spans="1:16" ht="14.25" x14ac:dyDescent="0.2">
      <c r="A73" s="50"/>
      <c r="B73" s="22"/>
      <c r="C73" s="22"/>
      <c r="D73" s="171"/>
      <c r="E73" s="171"/>
      <c r="F73" s="171"/>
      <c r="G73" s="171"/>
      <c r="H73" s="171"/>
      <c r="I73" s="13" t="s">
        <v>258</v>
      </c>
      <c r="J73" s="22"/>
      <c r="K73" s="22"/>
      <c r="L73" s="171"/>
      <c r="M73" s="171"/>
      <c r="N73" s="171"/>
      <c r="O73" s="171"/>
      <c r="P73" s="171"/>
    </row>
    <row r="74" spans="1:16" ht="28.5" x14ac:dyDescent="0.2">
      <c r="A74" s="50"/>
      <c r="B74" s="22"/>
      <c r="C74" s="22"/>
      <c r="D74" s="171"/>
      <c r="E74" s="171"/>
      <c r="F74" s="171"/>
      <c r="G74" s="171"/>
      <c r="H74" s="171"/>
      <c r="I74" s="13" t="s">
        <v>259</v>
      </c>
      <c r="J74" s="22"/>
      <c r="K74" s="22"/>
      <c r="L74" s="171"/>
      <c r="M74" s="171"/>
      <c r="N74" s="171"/>
      <c r="O74" s="171"/>
      <c r="P74" s="171"/>
    </row>
    <row r="75" spans="1:16" ht="28.5" x14ac:dyDescent="0.2">
      <c r="A75" s="49"/>
      <c r="B75" s="22"/>
      <c r="C75" s="99"/>
      <c r="D75" s="172"/>
      <c r="E75" s="172"/>
      <c r="F75" s="172"/>
      <c r="G75" s="172"/>
      <c r="H75" s="172"/>
      <c r="I75" s="145" t="s">
        <v>260</v>
      </c>
      <c r="J75" s="22"/>
      <c r="K75" s="22"/>
      <c r="L75" s="171"/>
      <c r="M75" s="171"/>
      <c r="N75" s="171"/>
      <c r="O75" s="171"/>
      <c r="P75" s="171"/>
    </row>
    <row r="76" spans="1:16" ht="42.75" x14ac:dyDescent="0.2">
      <c r="A76" s="7"/>
      <c r="B76" s="22"/>
      <c r="C76" s="22"/>
      <c r="D76" s="171"/>
      <c r="E76" s="171"/>
      <c r="F76" s="171"/>
      <c r="G76" s="171"/>
      <c r="H76" s="171"/>
      <c r="I76" s="13" t="s">
        <v>261</v>
      </c>
      <c r="J76" s="22"/>
      <c r="K76" s="22"/>
      <c r="L76" s="171"/>
      <c r="M76" s="171"/>
      <c r="N76" s="171"/>
      <c r="O76" s="171"/>
      <c r="P76" s="171"/>
    </row>
    <row r="77" spans="1:16" ht="14.25" x14ac:dyDescent="0.2">
      <c r="A77" s="51"/>
      <c r="B77" s="22"/>
      <c r="C77" s="22"/>
      <c r="D77" s="171"/>
      <c r="E77" s="171"/>
      <c r="F77" s="171"/>
      <c r="G77" s="171"/>
      <c r="H77" s="171"/>
      <c r="I77" s="146" t="s">
        <v>253</v>
      </c>
      <c r="J77" s="22"/>
      <c r="K77" s="22"/>
      <c r="L77" s="171"/>
      <c r="M77" s="171"/>
      <c r="N77" s="171"/>
      <c r="O77" s="171"/>
      <c r="P77" s="171"/>
    </row>
    <row r="78" spans="1:16" ht="45" x14ac:dyDescent="0.25">
      <c r="A78" s="38" t="s">
        <v>214</v>
      </c>
      <c r="B78" s="28">
        <f t="shared" ref="B78:H78" si="19">SUM(B68:B77)</f>
        <v>0</v>
      </c>
      <c r="C78" s="28">
        <f t="shared" si="19"/>
        <v>0</v>
      </c>
      <c r="D78" s="28">
        <f t="shared" si="19"/>
        <v>0</v>
      </c>
      <c r="E78" s="28">
        <f t="shared" si="19"/>
        <v>0</v>
      </c>
      <c r="F78" s="28">
        <f t="shared" si="19"/>
        <v>0</v>
      </c>
      <c r="G78" s="28">
        <f t="shared" si="19"/>
        <v>0</v>
      </c>
      <c r="H78" s="61">
        <f t="shared" si="19"/>
        <v>0</v>
      </c>
      <c r="I78" s="39" t="s">
        <v>215</v>
      </c>
      <c r="J78" s="28">
        <f t="shared" ref="J78:P78" si="20">SUM(J68:J77)</f>
        <v>0</v>
      </c>
      <c r="K78" s="28">
        <f t="shared" si="20"/>
        <v>0</v>
      </c>
      <c r="L78" s="28">
        <f t="shared" si="20"/>
        <v>0</v>
      </c>
      <c r="M78" s="28">
        <f t="shared" si="20"/>
        <v>0</v>
      </c>
      <c r="N78" s="28">
        <f t="shared" si="20"/>
        <v>0</v>
      </c>
      <c r="O78" s="28">
        <f t="shared" si="20"/>
        <v>0</v>
      </c>
      <c r="P78" s="61">
        <f t="shared" si="20"/>
        <v>0</v>
      </c>
    </row>
    <row r="79" spans="1:16" ht="14.25" x14ac:dyDescent="0.2">
      <c r="A79" s="44" t="s">
        <v>192</v>
      </c>
      <c r="B79" s="22"/>
      <c r="C79" s="22"/>
      <c r="D79" s="171"/>
      <c r="E79" s="171"/>
      <c r="F79" s="171"/>
      <c r="G79" s="171"/>
      <c r="H79" s="171"/>
      <c r="I79" s="180" t="s">
        <v>193</v>
      </c>
      <c r="J79" s="22"/>
      <c r="K79" s="22"/>
      <c r="L79" s="171"/>
      <c r="M79" s="171"/>
      <c r="N79" s="171"/>
      <c r="O79" s="171"/>
      <c r="P79" s="171"/>
    </row>
    <row r="80" spans="1:16" ht="60" x14ac:dyDescent="0.25">
      <c r="A80" s="38" t="s">
        <v>216</v>
      </c>
      <c r="B80" s="28">
        <f t="shared" ref="B80:H80" si="21">B78+B79</f>
        <v>0</v>
      </c>
      <c r="C80" s="28">
        <f t="shared" si="21"/>
        <v>0</v>
      </c>
      <c r="D80" s="28">
        <f t="shared" si="21"/>
        <v>0</v>
      </c>
      <c r="E80" s="28">
        <f t="shared" si="21"/>
        <v>0</v>
      </c>
      <c r="F80" s="28">
        <f t="shared" si="21"/>
        <v>0</v>
      </c>
      <c r="G80" s="28">
        <f t="shared" si="21"/>
        <v>0</v>
      </c>
      <c r="H80" s="61">
        <f t="shared" si="21"/>
        <v>0</v>
      </c>
      <c r="I80" s="39" t="s">
        <v>217</v>
      </c>
      <c r="J80" s="28">
        <f t="shared" ref="J80:P80" si="22">J78+J79</f>
        <v>0</v>
      </c>
      <c r="K80" s="28">
        <f t="shared" si="22"/>
        <v>0</v>
      </c>
      <c r="L80" s="28">
        <f t="shared" si="22"/>
        <v>0</v>
      </c>
      <c r="M80" s="28">
        <f t="shared" si="22"/>
        <v>0</v>
      </c>
      <c r="N80" s="28">
        <f t="shared" si="22"/>
        <v>0</v>
      </c>
      <c r="O80" s="28">
        <f t="shared" si="22"/>
        <v>0</v>
      </c>
      <c r="P80" s="61">
        <f t="shared" si="22"/>
        <v>0</v>
      </c>
    </row>
    <row r="81" spans="1:16" ht="15" x14ac:dyDescent="0.25">
      <c r="A81" s="18" t="s">
        <v>196</v>
      </c>
      <c r="B81" s="33"/>
      <c r="C81" s="33"/>
      <c r="D81" s="33"/>
      <c r="E81" s="33"/>
      <c r="F81" s="33"/>
      <c r="G81" s="33"/>
      <c r="H81" s="33"/>
      <c r="I81" s="41" t="s">
        <v>18</v>
      </c>
      <c r="J81" s="101"/>
      <c r="K81" s="101"/>
      <c r="L81" s="101"/>
      <c r="M81" s="101"/>
      <c r="N81" s="101"/>
      <c r="O81" s="101"/>
      <c r="P81" s="101"/>
    </row>
    <row r="82" spans="1:16" ht="29.25" x14ac:dyDescent="0.25">
      <c r="A82" s="7" t="s">
        <v>148</v>
      </c>
      <c r="B82" s="28"/>
      <c r="C82" s="28"/>
      <c r="D82" s="61"/>
      <c r="E82" s="61"/>
      <c r="F82" s="61"/>
      <c r="G82" s="61"/>
      <c r="H82" s="61"/>
      <c r="I82" s="23" t="s">
        <v>149</v>
      </c>
      <c r="J82" s="100"/>
      <c r="K82" s="22"/>
      <c r="L82" s="171"/>
      <c r="M82" s="171"/>
      <c r="N82" s="171"/>
      <c r="O82" s="171"/>
      <c r="P82" s="171"/>
    </row>
    <row r="83" spans="1:16" ht="14.25" x14ac:dyDescent="0.2">
      <c r="A83" s="6" t="s">
        <v>197</v>
      </c>
      <c r="B83" s="22"/>
      <c r="C83" s="22"/>
      <c r="D83" s="171"/>
      <c r="E83" s="171"/>
      <c r="F83" s="171"/>
      <c r="G83" s="171"/>
      <c r="H83" s="171"/>
      <c r="I83" s="25" t="s">
        <v>151</v>
      </c>
      <c r="J83" s="22"/>
      <c r="K83" s="22"/>
      <c r="L83" s="171"/>
      <c r="M83" s="171"/>
      <c r="N83" s="171"/>
      <c r="O83" s="171"/>
      <c r="P83" s="171"/>
    </row>
    <row r="84" spans="1:16" ht="29.25" x14ac:dyDescent="0.25">
      <c r="A84" s="6" t="s">
        <v>198</v>
      </c>
      <c r="B84" s="52"/>
      <c r="C84" s="52"/>
      <c r="D84" s="177"/>
      <c r="E84" s="177"/>
      <c r="F84" s="177"/>
      <c r="G84" s="177"/>
      <c r="H84" s="177"/>
      <c r="I84" s="25" t="s">
        <v>153</v>
      </c>
      <c r="J84" s="100"/>
      <c r="K84" s="22"/>
      <c r="L84" s="171"/>
      <c r="M84" s="171"/>
      <c r="N84" s="171"/>
      <c r="O84" s="171"/>
      <c r="P84" s="171"/>
    </row>
    <row r="85" spans="1:16" ht="14.25" x14ac:dyDescent="0.2">
      <c r="A85" s="24"/>
      <c r="B85" s="22"/>
      <c r="C85" s="22"/>
      <c r="D85" s="171"/>
      <c r="E85" s="171"/>
      <c r="F85" s="171"/>
      <c r="G85" s="171"/>
      <c r="H85" s="171"/>
      <c r="I85" s="25" t="s">
        <v>199</v>
      </c>
      <c r="J85" s="100"/>
      <c r="K85" s="22"/>
      <c r="L85" s="171"/>
      <c r="M85" s="171"/>
      <c r="N85" s="171"/>
      <c r="O85" s="171"/>
      <c r="P85" s="171"/>
    </row>
    <row r="86" spans="1:16" ht="45" x14ac:dyDescent="0.25">
      <c r="A86" s="38" t="s">
        <v>210</v>
      </c>
      <c r="B86" s="28">
        <f t="shared" ref="B86:H86" si="23">SUM(B82:B84)</f>
        <v>0</v>
      </c>
      <c r="C86" s="28">
        <f t="shared" si="23"/>
        <v>0</v>
      </c>
      <c r="D86" s="28">
        <f t="shared" si="23"/>
        <v>0</v>
      </c>
      <c r="E86" s="28">
        <f t="shared" si="23"/>
        <v>0</v>
      </c>
      <c r="F86" s="28">
        <f t="shared" si="23"/>
        <v>0</v>
      </c>
      <c r="G86" s="28">
        <f t="shared" si="23"/>
        <v>0</v>
      </c>
      <c r="H86" s="61">
        <f t="shared" si="23"/>
        <v>0</v>
      </c>
      <c r="I86" s="25" t="s">
        <v>200</v>
      </c>
      <c r="J86" s="100"/>
      <c r="K86" s="22"/>
      <c r="L86" s="171"/>
      <c r="M86" s="171"/>
      <c r="N86" s="171"/>
      <c r="O86" s="171"/>
      <c r="P86" s="171"/>
    </row>
    <row r="87" spans="1:16" ht="28.5" x14ac:dyDescent="0.2">
      <c r="A87" s="44" t="s">
        <v>192</v>
      </c>
      <c r="B87" s="22"/>
      <c r="C87" s="22"/>
      <c r="D87" s="171"/>
      <c r="E87" s="171"/>
      <c r="F87" s="171"/>
      <c r="G87" s="171"/>
      <c r="H87" s="171"/>
      <c r="I87" s="35" t="s">
        <v>201</v>
      </c>
      <c r="J87" s="100"/>
      <c r="K87" s="22"/>
      <c r="L87" s="171"/>
      <c r="M87" s="171"/>
      <c r="N87" s="171"/>
      <c r="O87" s="171"/>
      <c r="P87" s="171"/>
    </row>
    <row r="88" spans="1:16" ht="42.75" x14ac:dyDescent="0.2">
      <c r="A88" s="36"/>
      <c r="B88" s="22"/>
      <c r="C88" s="22"/>
      <c r="D88" s="171"/>
      <c r="E88" s="171"/>
      <c r="F88" s="171"/>
      <c r="G88" s="171"/>
      <c r="H88" s="171"/>
      <c r="I88" s="13" t="s">
        <v>157</v>
      </c>
      <c r="J88" s="100"/>
      <c r="K88" s="22"/>
      <c r="L88" s="171"/>
      <c r="M88" s="171"/>
      <c r="N88" s="171"/>
      <c r="O88" s="171"/>
      <c r="P88" s="171"/>
    </row>
    <row r="89" spans="1:16" ht="60" x14ac:dyDescent="0.25">
      <c r="A89" s="32" t="s">
        <v>218</v>
      </c>
      <c r="B89" s="28">
        <f t="shared" ref="B89:H89" si="24">SUM(B82:B88)</f>
        <v>0</v>
      </c>
      <c r="C89" s="61">
        <f t="shared" si="24"/>
        <v>0</v>
      </c>
      <c r="D89" s="61">
        <f t="shared" si="24"/>
        <v>0</v>
      </c>
      <c r="E89" s="61">
        <f t="shared" si="24"/>
        <v>0</v>
      </c>
      <c r="F89" s="61">
        <f t="shared" si="24"/>
        <v>0</v>
      </c>
      <c r="G89" s="61">
        <f t="shared" si="24"/>
        <v>0</v>
      </c>
      <c r="H89" s="61">
        <f t="shared" si="24"/>
        <v>0</v>
      </c>
      <c r="I89" s="37" t="s">
        <v>219</v>
      </c>
      <c r="J89" s="28">
        <f t="shared" ref="J89:P89" si="25">SUM(J82:J88)</f>
        <v>0</v>
      </c>
      <c r="K89" s="61">
        <f t="shared" si="25"/>
        <v>0</v>
      </c>
      <c r="L89" s="61">
        <f t="shared" si="25"/>
        <v>0</v>
      </c>
      <c r="M89" s="61">
        <f t="shared" si="25"/>
        <v>0</v>
      </c>
      <c r="N89" s="61">
        <f t="shared" si="25"/>
        <v>0</v>
      </c>
      <c r="O89" s="61">
        <f t="shared" si="25"/>
        <v>0</v>
      </c>
      <c r="P89" s="61">
        <f t="shared" si="25"/>
        <v>0</v>
      </c>
    </row>
    <row r="90" spans="1:16" x14ac:dyDescent="0.2">
      <c r="B90" s="103">
        <f t="shared" ref="B90:H90" si="26">B89+B80+B62+B49+B31+B20</f>
        <v>92528</v>
      </c>
      <c r="C90" s="103">
        <f t="shared" si="26"/>
        <v>94250</v>
      </c>
      <c r="D90" s="103">
        <f t="shared" si="26"/>
        <v>111357</v>
      </c>
      <c r="E90" s="103">
        <f t="shared" si="26"/>
        <v>111357</v>
      </c>
      <c r="F90" s="103">
        <f t="shared" si="26"/>
        <v>122650</v>
      </c>
      <c r="G90" s="103">
        <f t="shared" si="26"/>
        <v>123607</v>
      </c>
      <c r="H90" s="103">
        <f t="shared" si="26"/>
        <v>957</v>
      </c>
      <c r="J90" s="103">
        <f t="shared" ref="J90:P90" si="27">J89+J80+J62+J49+J31+J20</f>
        <v>92528</v>
      </c>
      <c r="K90" s="103">
        <f t="shared" si="27"/>
        <v>94250</v>
      </c>
      <c r="L90" s="103">
        <f t="shared" si="27"/>
        <v>111357</v>
      </c>
      <c r="M90" s="103">
        <f t="shared" si="27"/>
        <v>111357</v>
      </c>
      <c r="N90" s="103">
        <f t="shared" si="27"/>
        <v>122650</v>
      </c>
      <c r="O90" s="103">
        <f t="shared" si="27"/>
        <v>123607</v>
      </c>
      <c r="P90" s="103">
        <f t="shared" si="27"/>
        <v>957</v>
      </c>
    </row>
    <row r="91" spans="1:16" x14ac:dyDescent="0.2">
      <c r="A91" s="261" t="s">
        <v>267</v>
      </c>
      <c r="B91" s="103">
        <f>J90-B90</f>
        <v>0</v>
      </c>
      <c r="C91" s="103">
        <f>K90-C90</f>
        <v>0</v>
      </c>
      <c r="D91" s="103">
        <f>L90-D90</f>
        <v>0</v>
      </c>
      <c r="E91" s="103">
        <f>M90-E90</f>
        <v>0</v>
      </c>
      <c r="F91" s="103">
        <f>N90-F90</f>
        <v>0</v>
      </c>
      <c r="G91" s="103">
        <f>O90-G90</f>
        <v>0</v>
      </c>
      <c r="H91" s="103">
        <f t="shared" ref="H91" si="28">P90-H90</f>
        <v>0</v>
      </c>
    </row>
  </sheetData>
  <sheetProtection selectLockedCells="1" selectUnlockedCells="1"/>
  <mergeCells count="3">
    <mergeCell ref="A4:J4"/>
    <mergeCell ref="A33:J33"/>
    <mergeCell ref="A64:J64"/>
  </mergeCells>
  <phoneticPr fontId="27" type="noConversion"/>
  <pageMargins left="9.3333333333333338E-2" right="0.08" top="0.72666666666666668" bottom="1" header="0.5" footer="0.51180555555555551"/>
  <pageSetup paperSize="9" scale="64" firstPageNumber="0" orientation="landscape" r:id="rId1"/>
  <headerFooter alignWithMargins="0">
    <oddHeader>&amp;LPécsely Község Önkormányzata&amp;C7. melléklet a .../2017. (.....) rendelethez&amp;R&amp;P. oldalezer forint</oddHeader>
  </headerFooter>
  <rowBreaks count="2" manualBreakCount="2">
    <brk id="32" max="9" man="1"/>
    <brk id="6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P39"/>
  <sheetViews>
    <sheetView view="pageLayout" zoomScaleSheetLayoutView="89" workbookViewId="0">
      <selection activeCell="M8" sqref="M8"/>
    </sheetView>
  </sheetViews>
  <sheetFormatPr defaultRowHeight="12.75" x14ac:dyDescent="0.2"/>
  <cols>
    <col min="1" max="1" width="51" style="379" customWidth="1"/>
    <col min="2" max="3" width="11.85546875" bestFit="1" customWidth="1"/>
    <col min="4" max="6" width="13.28515625" bestFit="1" customWidth="1"/>
    <col min="7" max="7" width="13.7109375" bestFit="1" customWidth="1"/>
    <col min="8" max="9" width="13.28515625" bestFit="1" customWidth="1"/>
    <col min="10" max="10" width="16.140625" bestFit="1" customWidth="1"/>
    <col min="11" max="13" width="13.28515625" bestFit="1" customWidth="1"/>
    <col min="14" max="14" width="14.140625" bestFit="1" customWidth="1"/>
    <col min="257" max="257" width="51" customWidth="1"/>
    <col min="258" max="259" width="11.85546875" bestFit="1" customWidth="1"/>
    <col min="260" max="265" width="13.28515625" bestFit="1" customWidth="1"/>
    <col min="266" max="266" width="16.140625" bestFit="1" customWidth="1"/>
    <col min="267" max="269" width="13.28515625" bestFit="1" customWidth="1"/>
    <col min="270" max="270" width="14.140625" bestFit="1" customWidth="1"/>
    <col min="513" max="513" width="51" customWidth="1"/>
    <col min="514" max="515" width="11.85546875" bestFit="1" customWidth="1"/>
    <col min="516" max="521" width="13.28515625" bestFit="1" customWidth="1"/>
    <col min="522" max="522" width="16.140625" bestFit="1" customWidth="1"/>
    <col min="523" max="525" width="13.28515625" bestFit="1" customWidth="1"/>
    <col min="526" max="526" width="14.140625" bestFit="1" customWidth="1"/>
    <col min="769" max="769" width="51" customWidth="1"/>
    <col min="770" max="771" width="11.85546875" bestFit="1" customWidth="1"/>
    <col min="772" max="777" width="13.28515625" bestFit="1" customWidth="1"/>
    <col min="778" max="778" width="16.140625" bestFit="1" customWidth="1"/>
    <col min="779" max="781" width="13.28515625" bestFit="1" customWidth="1"/>
    <col min="782" max="782" width="14.140625" bestFit="1" customWidth="1"/>
    <col min="1025" max="1025" width="51" customWidth="1"/>
    <col min="1026" max="1027" width="11.85546875" bestFit="1" customWidth="1"/>
    <col min="1028" max="1033" width="13.28515625" bestFit="1" customWidth="1"/>
    <col min="1034" max="1034" width="16.140625" bestFit="1" customWidth="1"/>
    <col min="1035" max="1037" width="13.28515625" bestFit="1" customWidth="1"/>
    <col min="1038" max="1038" width="14.140625" bestFit="1" customWidth="1"/>
    <col min="1281" max="1281" width="51" customWidth="1"/>
    <col min="1282" max="1283" width="11.85546875" bestFit="1" customWidth="1"/>
    <col min="1284" max="1289" width="13.28515625" bestFit="1" customWidth="1"/>
    <col min="1290" max="1290" width="16.140625" bestFit="1" customWidth="1"/>
    <col min="1291" max="1293" width="13.28515625" bestFit="1" customWidth="1"/>
    <col min="1294" max="1294" width="14.140625" bestFit="1" customWidth="1"/>
    <col min="1537" max="1537" width="51" customWidth="1"/>
    <col min="1538" max="1539" width="11.85546875" bestFit="1" customWidth="1"/>
    <col min="1540" max="1545" width="13.28515625" bestFit="1" customWidth="1"/>
    <col min="1546" max="1546" width="16.140625" bestFit="1" customWidth="1"/>
    <col min="1547" max="1549" width="13.28515625" bestFit="1" customWidth="1"/>
    <col min="1550" max="1550" width="14.140625" bestFit="1" customWidth="1"/>
    <col min="1793" max="1793" width="51" customWidth="1"/>
    <col min="1794" max="1795" width="11.85546875" bestFit="1" customWidth="1"/>
    <col min="1796" max="1801" width="13.28515625" bestFit="1" customWidth="1"/>
    <col min="1802" max="1802" width="16.140625" bestFit="1" customWidth="1"/>
    <col min="1803" max="1805" width="13.28515625" bestFit="1" customWidth="1"/>
    <col min="1806" max="1806" width="14.140625" bestFit="1" customWidth="1"/>
    <col min="2049" max="2049" width="51" customWidth="1"/>
    <col min="2050" max="2051" width="11.85546875" bestFit="1" customWidth="1"/>
    <col min="2052" max="2057" width="13.28515625" bestFit="1" customWidth="1"/>
    <col min="2058" max="2058" width="16.140625" bestFit="1" customWidth="1"/>
    <col min="2059" max="2061" width="13.28515625" bestFit="1" customWidth="1"/>
    <col min="2062" max="2062" width="14.140625" bestFit="1" customWidth="1"/>
    <col min="2305" max="2305" width="51" customWidth="1"/>
    <col min="2306" max="2307" width="11.85546875" bestFit="1" customWidth="1"/>
    <col min="2308" max="2313" width="13.28515625" bestFit="1" customWidth="1"/>
    <col min="2314" max="2314" width="16.140625" bestFit="1" customWidth="1"/>
    <col min="2315" max="2317" width="13.28515625" bestFit="1" customWidth="1"/>
    <col min="2318" max="2318" width="14.140625" bestFit="1" customWidth="1"/>
    <col min="2561" max="2561" width="51" customWidth="1"/>
    <col min="2562" max="2563" width="11.85546875" bestFit="1" customWidth="1"/>
    <col min="2564" max="2569" width="13.28515625" bestFit="1" customWidth="1"/>
    <col min="2570" max="2570" width="16.140625" bestFit="1" customWidth="1"/>
    <col min="2571" max="2573" width="13.28515625" bestFit="1" customWidth="1"/>
    <col min="2574" max="2574" width="14.140625" bestFit="1" customWidth="1"/>
    <col min="2817" max="2817" width="51" customWidth="1"/>
    <col min="2818" max="2819" width="11.85546875" bestFit="1" customWidth="1"/>
    <col min="2820" max="2825" width="13.28515625" bestFit="1" customWidth="1"/>
    <col min="2826" max="2826" width="16.140625" bestFit="1" customWidth="1"/>
    <col min="2827" max="2829" width="13.28515625" bestFit="1" customWidth="1"/>
    <col min="2830" max="2830" width="14.140625" bestFit="1" customWidth="1"/>
    <col min="3073" max="3073" width="51" customWidth="1"/>
    <col min="3074" max="3075" width="11.85546875" bestFit="1" customWidth="1"/>
    <col min="3076" max="3081" width="13.28515625" bestFit="1" customWidth="1"/>
    <col min="3082" max="3082" width="16.140625" bestFit="1" customWidth="1"/>
    <col min="3083" max="3085" width="13.28515625" bestFit="1" customWidth="1"/>
    <col min="3086" max="3086" width="14.140625" bestFit="1" customWidth="1"/>
    <col min="3329" max="3329" width="51" customWidth="1"/>
    <col min="3330" max="3331" width="11.85546875" bestFit="1" customWidth="1"/>
    <col min="3332" max="3337" width="13.28515625" bestFit="1" customWidth="1"/>
    <col min="3338" max="3338" width="16.140625" bestFit="1" customWidth="1"/>
    <col min="3339" max="3341" width="13.28515625" bestFit="1" customWidth="1"/>
    <col min="3342" max="3342" width="14.140625" bestFit="1" customWidth="1"/>
    <col min="3585" max="3585" width="51" customWidth="1"/>
    <col min="3586" max="3587" width="11.85546875" bestFit="1" customWidth="1"/>
    <col min="3588" max="3593" width="13.28515625" bestFit="1" customWidth="1"/>
    <col min="3594" max="3594" width="16.140625" bestFit="1" customWidth="1"/>
    <col min="3595" max="3597" width="13.28515625" bestFit="1" customWidth="1"/>
    <col min="3598" max="3598" width="14.140625" bestFit="1" customWidth="1"/>
    <col min="3841" max="3841" width="51" customWidth="1"/>
    <col min="3842" max="3843" width="11.85546875" bestFit="1" customWidth="1"/>
    <col min="3844" max="3849" width="13.28515625" bestFit="1" customWidth="1"/>
    <col min="3850" max="3850" width="16.140625" bestFit="1" customWidth="1"/>
    <col min="3851" max="3853" width="13.28515625" bestFit="1" customWidth="1"/>
    <col min="3854" max="3854" width="14.140625" bestFit="1" customWidth="1"/>
    <col min="4097" max="4097" width="51" customWidth="1"/>
    <col min="4098" max="4099" width="11.85546875" bestFit="1" customWidth="1"/>
    <col min="4100" max="4105" width="13.28515625" bestFit="1" customWidth="1"/>
    <col min="4106" max="4106" width="16.140625" bestFit="1" customWidth="1"/>
    <col min="4107" max="4109" width="13.28515625" bestFit="1" customWidth="1"/>
    <col min="4110" max="4110" width="14.140625" bestFit="1" customWidth="1"/>
    <col min="4353" max="4353" width="51" customWidth="1"/>
    <col min="4354" max="4355" width="11.85546875" bestFit="1" customWidth="1"/>
    <col min="4356" max="4361" width="13.28515625" bestFit="1" customWidth="1"/>
    <col min="4362" max="4362" width="16.140625" bestFit="1" customWidth="1"/>
    <col min="4363" max="4365" width="13.28515625" bestFit="1" customWidth="1"/>
    <col min="4366" max="4366" width="14.140625" bestFit="1" customWidth="1"/>
    <col min="4609" max="4609" width="51" customWidth="1"/>
    <col min="4610" max="4611" width="11.85546875" bestFit="1" customWidth="1"/>
    <col min="4612" max="4617" width="13.28515625" bestFit="1" customWidth="1"/>
    <col min="4618" max="4618" width="16.140625" bestFit="1" customWidth="1"/>
    <col min="4619" max="4621" width="13.28515625" bestFit="1" customWidth="1"/>
    <col min="4622" max="4622" width="14.140625" bestFit="1" customWidth="1"/>
    <col min="4865" max="4865" width="51" customWidth="1"/>
    <col min="4866" max="4867" width="11.85546875" bestFit="1" customWidth="1"/>
    <col min="4868" max="4873" width="13.28515625" bestFit="1" customWidth="1"/>
    <col min="4874" max="4874" width="16.140625" bestFit="1" customWidth="1"/>
    <col min="4875" max="4877" width="13.28515625" bestFit="1" customWidth="1"/>
    <col min="4878" max="4878" width="14.140625" bestFit="1" customWidth="1"/>
    <col min="5121" max="5121" width="51" customWidth="1"/>
    <col min="5122" max="5123" width="11.85546875" bestFit="1" customWidth="1"/>
    <col min="5124" max="5129" width="13.28515625" bestFit="1" customWidth="1"/>
    <col min="5130" max="5130" width="16.140625" bestFit="1" customWidth="1"/>
    <col min="5131" max="5133" width="13.28515625" bestFit="1" customWidth="1"/>
    <col min="5134" max="5134" width="14.140625" bestFit="1" customWidth="1"/>
    <col min="5377" max="5377" width="51" customWidth="1"/>
    <col min="5378" max="5379" width="11.85546875" bestFit="1" customWidth="1"/>
    <col min="5380" max="5385" width="13.28515625" bestFit="1" customWidth="1"/>
    <col min="5386" max="5386" width="16.140625" bestFit="1" customWidth="1"/>
    <col min="5387" max="5389" width="13.28515625" bestFit="1" customWidth="1"/>
    <col min="5390" max="5390" width="14.140625" bestFit="1" customWidth="1"/>
    <col min="5633" max="5633" width="51" customWidth="1"/>
    <col min="5634" max="5635" width="11.85546875" bestFit="1" customWidth="1"/>
    <col min="5636" max="5641" width="13.28515625" bestFit="1" customWidth="1"/>
    <col min="5642" max="5642" width="16.140625" bestFit="1" customWidth="1"/>
    <col min="5643" max="5645" width="13.28515625" bestFit="1" customWidth="1"/>
    <col min="5646" max="5646" width="14.140625" bestFit="1" customWidth="1"/>
    <col min="5889" max="5889" width="51" customWidth="1"/>
    <col min="5890" max="5891" width="11.85546875" bestFit="1" customWidth="1"/>
    <col min="5892" max="5897" width="13.28515625" bestFit="1" customWidth="1"/>
    <col min="5898" max="5898" width="16.140625" bestFit="1" customWidth="1"/>
    <col min="5899" max="5901" width="13.28515625" bestFit="1" customWidth="1"/>
    <col min="5902" max="5902" width="14.140625" bestFit="1" customWidth="1"/>
    <col min="6145" max="6145" width="51" customWidth="1"/>
    <col min="6146" max="6147" width="11.85546875" bestFit="1" customWidth="1"/>
    <col min="6148" max="6153" width="13.28515625" bestFit="1" customWidth="1"/>
    <col min="6154" max="6154" width="16.140625" bestFit="1" customWidth="1"/>
    <col min="6155" max="6157" width="13.28515625" bestFit="1" customWidth="1"/>
    <col min="6158" max="6158" width="14.140625" bestFit="1" customWidth="1"/>
    <col min="6401" max="6401" width="51" customWidth="1"/>
    <col min="6402" max="6403" width="11.85546875" bestFit="1" customWidth="1"/>
    <col min="6404" max="6409" width="13.28515625" bestFit="1" customWidth="1"/>
    <col min="6410" max="6410" width="16.140625" bestFit="1" customWidth="1"/>
    <col min="6411" max="6413" width="13.28515625" bestFit="1" customWidth="1"/>
    <col min="6414" max="6414" width="14.140625" bestFit="1" customWidth="1"/>
    <col min="6657" max="6657" width="51" customWidth="1"/>
    <col min="6658" max="6659" width="11.85546875" bestFit="1" customWidth="1"/>
    <col min="6660" max="6665" width="13.28515625" bestFit="1" customWidth="1"/>
    <col min="6666" max="6666" width="16.140625" bestFit="1" customWidth="1"/>
    <col min="6667" max="6669" width="13.28515625" bestFit="1" customWidth="1"/>
    <col min="6670" max="6670" width="14.140625" bestFit="1" customWidth="1"/>
    <col min="6913" max="6913" width="51" customWidth="1"/>
    <col min="6914" max="6915" width="11.85546875" bestFit="1" customWidth="1"/>
    <col min="6916" max="6921" width="13.28515625" bestFit="1" customWidth="1"/>
    <col min="6922" max="6922" width="16.140625" bestFit="1" customWidth="1"/>
    <col min="6923" max="6925" width="13.28515625" bestFit="1" customWidth="1"/>
    <col min="6926" max="6926" width="14.140625" bestFit="1" customWidth="1"/>
    <col min="7169" max="7169" width="51" customWidth="1"/>
    <col min="7170" max="7171" width="11.85546875" bestFit="1" customWidth="1"/>
    <col min="7172" max="7177" width="13.28515625" bestFit="1" customWidth="1"/>
    <col min="7178" max="7178" width="16.140625" bestFit="1" customWidth="1"/>
    <col min="7179" max="7181" width="13.28515625" bestFit="1" customWidth="1"/>
    <col min="7182" max="7182" width="14.140625" bestFit="1" customWidth="1"/>
    <col min="7425" max="7425" width="51" customWidth="1"/>
    <col min="7426" max="7427" width="11.85546875" bestFit="1" customWidth="1"/>
    <col min="7428" max="7433" width="13.28515625" bestFit="1" customWidth="1"/>
    <col min="7434" max="7434" width="16.140625" bestFit="1" customWidth="1"/>
    <col min="7435" max="7437" width="13.28515625" bestFit="1" customWidth="1"/>
    <col min="7438" max="7438" width="14.140625" bestFit="1" customWidth="1"/>
    <col min="7681" max="7681" width="51" customWidth="1"/>
    <col min="7682" max="7683" width="11.85546875" bestFit="1" customWidth="1"/>
    <col min="7684" max="7689" width="13.28515625" bestFit="1" customWidth="1"/>
    <col min="7690" max="7690" width="16.140625" bestFit="1" customWidth="1"/>
    <col min="7691" max="7693" width="13.28515625" bestFit="1" customWidth="1"/>
    <col min="7694" max="7694" width="14.140625" bestFit="1" customWidth="1"/>
    <col min="7937" max="7937" width="51" customWidth="1"/>
    <col min="7938" max="7939" width="11.85546875" bestFit="1" customWidth="1"/>
    <col min="7940" max="7945" width="13.28515625" bestFit="1" customWidth="1"/>
    <col min="7946" max="7946" width="16.140625" bestFit="1" customWidth="1"/>
    <col min="7947" max="7949" width="13.28515625" bestFit="1" customWidth="1"/>
    <col min="7950" max="7950" width="14.140625" bestFit="1" customWidth="1"/>
    <col min="8193" max="8193" width="51" customWidth="1"/>
    <col min="8194" max="8195" width="11.85546875" bestFit="1" customWidth="1"/>
    <col min="8196" max="8201" width="13.28515625" bestFit="1" customWidth="1"/>
    <col min="8202" max="8202" width="16.140625" bestFit="1" customWidth="1"/>
    <col min="8203" max="8205" width="13.28515625" bestFit="1" customWidth="1"/>
    <col min="8206" max="8206" width="14.140625" bestFit="1" customWidth="1"/>
    <col min="8449" max="8449" width="51" customWidth="1"/>
    <col min="8450" max="8451" width="11.85546875" bestFit="1" customWidth="1"/>
    <col min="8452" max="8457" width="13.28515625" bestFit="1" customWidth="1"/>
    <col min="8458" max="8458" width="16.140625" bestFit="1" customWidth="1"/>
    <col min="8459" max="8461" width="13.28515625" bestFit="1" customWidth="1"/>
    <col min="8462" max="8462" width="14.140625" bestFit="1" customWidth="1"/>
    <col min="8705" max="8705" width="51" customWidth="1"/>
    <col min="8706" max="8707" width="11.85546875" bestFit="1" customWidth="1"/>
    <col min="8708" max="8713" width="13.28515625" bestFit="1" customWidth="1"/>
    <col min="8714" max="8714" width="16.140625" bestFit="1" customWidth="1"/>
    <col min="8715" max="8717" width="13.28515625" bestFit="1" customWidth="1"/>
    <col min="8718" max="8718" width="14.140625" bestFit="1" customWidth="1"/>
    <col min="8961" max="8961" width="51" customWidth="1"/>
    <col min="8962" max="8963" width="11.85546875" bestFit="1" customWidth="1"/>
    <col min="8964" max="8969" width="13.28515625" bestFit="1" customWidth="1"/>
    <col min="8970" max="8970" width="16.140625" bestFit="1" customWidth="1"/>
    <col min="8971" max="8973" width="13.28515625" bestFit="1" customWidth="1"/>
    <col min="8974" max="8974" width="14.140625" bestFit="1" customWidth="1"/>
    <col min="9217" max="9217" width="51" customWidth="1"/>
    <col min="9218" max="9219" width="11.85546875" bestFit="1" customWidth="1"/>
    <col min="9220" max="9225" width="13.28515625" bestFit="1" customWidth="1"/>
    <col min="9226" max="9226" width="16.140625" bestFit="1" customWidth="1"/>
    <col min="9227" max="9229" width="13.28515625" bestFit="1" customWidth="1"/>
    <col min="9230" max="9230" width="14.140625" bestFit="1" customWidth="1"/>
    <col min="9473" max="9473" width="51" customWidth="1"/>
    <col min="9474" max="9475" width="11.85546875" bestFit="1" customWidth="1"/>
    <col min="9476" max="9481" width="13.28515625" bestFit="1" customWidth="1"/>
    <col min="9482" max="9482" width="16.140625" bestFit="1" customWidth="1"/>
    <col min="9483" max="9485" width="13.28515625" bestFit="1" customWidth="1"/>
    <col min="9486" max="9486" width="14.140625" bestFit="1" customWidth="1"/>
    <col min="9729" max="9729" width="51" customWidth="1"/>
    <col min="9730" max="9731" width="11.85546875" bestFit="1" customWidth="1"/>
    <col min="9732" max="9737" width="13.28515625" bestFit="1" customWidth="1"/>
    <col min="9738" max="9738" width="16.140625" bestFit="1" customWidth="1"/>
    <col min="9739" max="9741" width="13.28515625" bestFit="1" customWidth="1"/>
    <col min="9742" max="9742" width="14.140625" bestFit="1" customWidth="1"/>
    <col min="9985" max="9985" width="51" customWidth="1"/>
    <col min="9986" max="9987" width="11.85546875" bestFit="1" customWidth="1"/>
    <col min="9988" max="9993" width="13.28515625" bestFit="1" customWidth="1"/>
    <col min="9994" max="9994" width="16.140625" bestFit="1" customWidth="1"/>
    <col min="9995" max="9997" width="13.28515625" bestFit="1" customWidth="1"/>
    <col min="9998" max="9998" width="14.140625" bestFit="1" customWidth="1"/>
    <col min="10241" max="10241" width="51" customWidth="1"/>
    <col min="10242" max="10243" width="11.85546875" bestFit="1" customWidth="1"/>
    <col min="10244" max="10249" width="13.28515625" bestFit="1" customWidth="1"/>
    <col min="10250" max="10250" width="16.140625" bestFit="1" customWidth="1"/>
    <col min="10251" max="10253" width="13.28515625" bestFit="1" customWidth="1"/>
    <col min="10254" max="10254" width="14.140625" bestFit="1" customWidth="1"/>
    <col min="10497" max="10497" width="51" customWidth="1"/>
    <col min="10498" max="10499" width="11.85546875" bestFit="1" customWidth="1"/>
    <col min="10500" max="10505" width="13.28515625" bestFit="1" customWidth="1"/>
    <col min="10506" max="10506" width="16.140625" bestFit="1" customWidth="1"/>
    <col min="10507" max="10509" width="13.28515625" bestFit="1" customWidth="1"/>
    <col min="10510" max="10510" width="14.140625" bestFit="1" customWidth="1"/>
    <col min="10753" max="10753" width="51" customWidth="1"/>
    <col min="10754" max="10755" width="11.85546875" bestFit="1" customWidth="1"/>
    <col min="10756" max="10761" width="13.28515625" bestFit="1" customWidth="1"/>
    <col min="10762" max="10762" width="16.140625" bestFit="1" customWidth="1"/>
    <col min="10763" max="10765" width="13.28515625" bestFit="1" customWidth="1"/>
    <col min="10766" max="10766" width="14.140625" bestFit="1" customWidth="1"/>
    <col min="11009" max="11009" width="51" customWidth="1"/>
    <col min="11010" max="11011" width="11.85546875" bestFit="1" customWidth="1"/>
    <col min="11012" max="11017" width="13.28515625" bestFit="1" customWidth="1"/>
    <col min="11018" max="11018" width="16.140625" bestFit="1" customWidth="1"/>
    <col min="11019" max="11021" width="13.28515625" bestFit="1" customWidth="1"/>
    <col min="11022" max="11022" width="14.140625" bestFit="1" customWidth="1"/>
    <col min="11265" max="11265" width="51" customWidth="1"/>
    <col min="11266" max="11267" width="11.85546875" bestFit="1" customWidth="1"/>
    <col min="11268" max="11273" width="13.28515625" bestFit="1" customWidth="1"/>
    <col min="11274" max="11274" width="16.140625" bestFit="1" customWidth="1"/>
    <col min="11275" max="11277" width="13.28515625" bestFit="1" customWidth="1"/>
    <col min="11278" max="11278" width="14.140625" bestFit="1" customWidth="1"/>
    <col min="11521" max="11521" width="51" customWidth="1"/>
    <col min="11522" max="11523" width="11.85546875" bestFit="1" customWidth="1"/>
    <col min="11524" max="11529" width="13.28515625" bestFit="1" customWidth="1"/>
    <col min="11530" max="11530" width="16.140625" bestFit="1" customWidth="1"/>
    <col min="11531" max="11533" width="13.28515625" bestFit="1" customWidth="1"/>
    <col min="11534" max="11534" width="14.140625" bestFit="1" customWidth="1"/>
    <col min="11777" max="11777" width="51" customWidth="1"/>
    <col min="11778" max="11779" width="11.85546875" bestFit="1" customWidth="1"/>
    <col min="11780" max="11785" width="13.28515625" bestFit="1" customWidth="1"/>
    <col min="11786" max="11786" width="16.140625" bestFit="1" customWidth="1"/>
    <col min="11787" max="11789" width="13.28515625" bestFit="1" customWidth="1"/>
    <col min="11790" max="11790" width="14.140625" bestFit="1" customWidth="1"/>
    <col min="12033" max="12033" width="51" customWidth="1"/>
    <col min="12034" max="12035" width="11.85546875" bestFit="1" customWidth="1"/>
    <col min="12036" max="12041" width="13.28515625" bestFit="1" customWidth="1"/>
    <col min="12042" max="12042" width="16.140625" bestFit="1" customWidth="1"/>
    <col min="12043" max="12045" width="13.28515625" bestFit="1" customWidth="1"/>
    <col min="12046" max="12046" width="14.140625" bestFit="1" customWidth="1"/>
    <col min="12289" max="12289" width="51" customWidth="1"/>
    <col min="12290" max="12291" width="11.85546875" bestFit="1" customWidth="1"/>
    <col min="12292" max="12297" width="13.28515625" bestFit="1" customWidth="1"/>
    <col min="12298" max="12298" width="16.140625" bestFit="1" customWidth="1"/>
    <col min="12299" max="12301" width="13.28515625" bestFit="1" customWidth="1"/>
    <col min="12302" max="12302" width="14.140625" bestFit="1" customWidth="1"/>
    <col min="12545" max="12545" width="51" customWidth="1"/>
    <col min="12546" max="12547" width="11.85546875" bestFit="1" customWidth="1"/>
    <col min="12548" max="12553" width="13.28515625" bestFit="1" customWidth="1"/>
    <col min="12554" max="12554" width="16.140625" bestFit="1" customWidth="1"/>
    <col min="12555" max="12557" width="13.28515625" bestFit="1" customWidth="1"/>
    <col min="12558" max="12558" width="14.140625" bestFit="1" customWidth="1"/>
    <col min="12801" max="12801" width="51" customWidth="1"/>
    <col min="12802" max="12803" width="11.85546875" bestFit="1" customWidth="1"/>
    <col min="12804" max="12809" width="13.28515625" bestFit="1" customWidth="1"/>
    <col min="12810" max="12810" width="16.140625" bestFit="1" customWidth="1"/>
    <col min="12811" max="12813" width="13.28515625" bestFit="1" customWidth="1"/>
    <col min="12814" max="12814" width="14.140625" bestFit="1" customWidth="1"/>
    <col min="13057" max="13057" width="51" customWidth="1"/>
    <col min="13058" max="13059" width="11.85546875" bestFit="1" customWidth="1"/>
    <col min="13060" max="13065" width="13.28515625" bestFit="1" customWidth="1"/>
    <col min="13066" max="13066" width="16.140625" bestFit="1" customWidth="1"/>
    <col min="13067" max="13069" width="13.28515625" bestFit="1" customWidth="1"/>
    <col min="13070" max="13070" width="14.140625" bestFit="1" customWidth="1"/>
    <col min="13313" max="13313" width="51" customWidth="1"/>
    <col min="13314" max="13315" width="11.85546875" bestFit="1" customWidth="1"/>
    <col min="13316" max="13321" width="13.28515625" bestFit="1" customWidth="1"/>
    <col min="13322" max="13322" width="16.140625" bestFit="1" customWidth="1"/>
    <col min="13323" max="13325" width="13.28515625" bestFit="1" customWidth="1"/>
    <col min="13326" max="13326" width="14.140625" bestFit="1" customWidth="1"/>
    <col min="13569" max="13569" width="51" customWidth="1"/>
    <col min="13570" max="13571" width="11.85546875" bestFit="1" customWidth="1"/>
    <col min="13572" max="13577" width="13.28515625" bestFit="1" customWidth="1"/>
    <col min="13578" max="13578" width="16.140625" bestFit="1" customWidth="1"/>
    <col min="13579" max="13581" width="13.28515625" bestFit="1" customWidth="1"/>
    <col min="13582" max="13582" width="14.140625" bestFit="1" customWidth="1"/>
    <col min="13825" max="13825" width="51" customWidth="1"/>
    <col min="13826" max="13827" width="11.85546875" bestFit="1" customWidth="1"/>
    <col min="13828" max="13833" width="13.28515625" bestFit="1" customWidth="1"/>
    <col min="13834" max="13834" width="16.140625" bestFit="1" customWidth="1"/>
    <col min="13835" max="13837" width="13.28515625" bestFit="1" customWidth="1"/>
    <col min="13838" max="13838" width="14.140625" bestFit="1" customWidth="1"/>
    <col min="14081" max="14081" width="51" customWidth="1"/>
    <col min="14082" max="14083" width="11.85546875" bestFit="1" customWidth="1"/>
    <col min="14084" max="14089" width="13.28515625" bestFit="1" customWidth="1"/>
    <col min="14090" max="14090" width="16.140625" bestFit="1" customWidth="1"/>
    <col min="14091" max="14093" width="13.28515625" bestFit="1" customWidth="1"/>
    <col min="14094" max="14094" width="14.140625" bestFit="1" customWidth="1"/>
    <col min="14337" max="14337" width="51" customWidth="1"/>
    <col min="14338" max="14339" width="11.85546875" bestFit="1" customWidth="1"/>
    <col min="14340" max="14345" width="13.28515625" bestFit="1" customWidth="1"/>
    <col min="14346" max="14346" width="16.140625" bestFit="1" customWidth="1"/>
    <col min="14347" max="14349" width="13.28515625" bestFit="1" customWidth="1"/>
    <col min="14350" max="14350" width="14.140625" bestFit="1" customWidth="1"/>
    <col min="14593" max="14593" width="51" customWidth="1"/>
    <col min="14594" max="14595" width="11.85546875" bestFit="1" customWidth="1"/>
    <col min="14596" max="14601" width="13.28515625" bestFit="1" customWidth="1"/>
    <col min="14602" max="14602" width="16.140625" bestFit="1" customWidth="1"/>
    <col min="14603" max="14605" width="13.28515625" bestFit="1" customWidth="1"/>
    <col min="14606" max="14606" width="14.140625" bestFit="1" customWidth="1"/>
    <col min="14849" max="14849" width="51" customWidth="1"/>
    <col min="14850" max="14851" width="11.85546875" bestFit="1" customWidth="1"/>
    <col min="14852" max="14857" width="13.28515625" bestFit="1" customWidth="1"/>
    <col min="14858" max="14858" width="16.140625" bestFit="1" customWidth="1"/>
    <col min="14859" max="14861" width="13.28515625" bestFit="1" customWidth="1"/>
    <col min="14862" max="14862" width="14.140625" bestFit="1" customWidth="1"/>
    <col min="15105" max="15105" width="51" customWidth="1"/>
    <col min="15106" max="15107" width="11.85546875" bestFit="1" customWidth="1"/>
    <col min="15108" max="15113" width="13.28515625" bestFit="1" customWidth="1"/>
    <col min="15114" max="15114" width="16.140625" bestFit="1" customWidth="1"/>
    <col min="15115" max="15117" width="13.28515625" bestFit="1" customWidth="1"/>
    <col min="15118" max="15118" width="14.140625" bestFit="1" customWidth="1"/>
    <col min="15361" max="15361" width="51" customWidth="1"/>
    <col min="15362" max="15363" width="11.85546875" bestFit="1" customWidth="1"/>
    <col min="15364" max="15369" width="13.28515625" bestFit="1" customWidth="1"/>
    <col min="15370" max="15370" width="16.140625" bestFit="1" customWidth="1"/>
    <col min="15371" max="15373" width="13.28515625" bestFit="1" customWidth="1"/>
    <col min="15374" max="15374" width="14.140625" bestFit="1" customWidth="1"/>
    <col min="15617" max="15617" width="51" customWidth="1"/>
    <col min="15618" max="15619" width="11.85546875" bestFit="1" customWidth="1"/>
    <col min="15620" max="15625" width="13.28515625" bestFit="1" customWidth="1"/>
    <col min="15626" max="15626" width="16.140625" bestFit="1" customWidth="1"/>
    <col min="15627" max="15629" width="13.28515625" bestFit="1" customWidth="1"/>
    <col min="15630" max="15630" width="14.140625" bestFit="1" customWidth="1"/>
    <col min="15873" max="15873" width="51" customWidth="1"/>
    <col min="15874" max="15875" width="11.85546875" bestFit="1" customWidth="1"/>
    <col min="15876" max="15881" width="13.28515625" bestFit="1" customWidth="1"/>
    <col min="15882" max="15882" width="16.140625" bestFit="1" customWidth="1"/>
    <col min="15883" max="15885" width="13.28515625" bestFit="1" customWidth="1"/>
    <col min="15886" max="15886" width="14.140625" bestFit="1" customWidth="1"/>
    <col min="16129" max="16129" width="51" customWidth="1"/>
    <col min="16130" max="16131" width="11.85546875" bestFit="1" customWidth="1"/>
    <col min="16132" max="16137" width="13.28515625" bestFit="1" customWidth="1"/>
    <col min="16138" max="16138" width="16.140625" bestFit="1" customWidth="1"/>
    <col min="16139" max="16141" width="13.28515625" bestFit="1" customWidth="1"/>
    <col min="16142" max="16142" width="14.140625" bestFit="1" customWidth="1"/>
  </cols>
  <sheetData>
    <row r="1" spans="1:15" ht="15" x14ac:dyDescent="0.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15" x14ac:dyDescent="0.2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01"/>
      <c r="N2" s="501"/>
    </row>
    <row r="3" spans="1:15" ht="15.75" x14ac:dyDescent="0.25">
      <c r="A3" s="502" t="s">
        <v>417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</row>
    <row r="4" spans="1:15" ht="15.75" thickBo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6"/>
    </row>
    <row r="5" spans="1:15" ht="15.75" thickBot="1" x14ac:dyDescent="0.25">
      <c r="A5" s="348" t="s">
        <v>107</v>
      </c>
      <c r="B5" s="349" t="s">
        <v>220</v>
      </c>
      <c r="C5" s="349" t="s">
        <v>221</v>
      </c>
      <c r="D5" s="349" t="s">
        <v>222</v>
      </c>
      <c r="E5" s="349" t="s">
        <v>223</v>
      </c>
      <c r="F5" s="349" t="s">
        <v>224</v>
      </c>
      <c r="G5" s="349" t="s">
        <v>225</v>
      </c>
      <c r="H5" s="349" t="s">
        <v>226</v>
      </c>
      <c r="I5" s="349" t="s">
        <v>227</v>
      </c>
      <c r="J5" s="349" t="s">
        <v>323</v>
      </c>
      <c r="K5" s="349" t="s">
        <v>228</v>
      </c>
      <c r="L5" s="349" t="s">
        <v>229</v>
      </c>
      <c r="M5" s="349" t="s">
        <v>230</v>
      </c>
      <c r="N5" s="350" t="s">
        <v>106</v>
      </c>
    </row>
    <row r="6" spans="1:15" ht="16.5" thickBot="1" x14ac:dyDescent="0.3">
      <c r="A6" s="351" t="s">
        <v>231</v>
      </c>
      <c r="B6" s="352">
        <v>7151</v>
      </c>
      <c r="C6" s="352">
        <f t="shared" ref="C6:M6" si="0">SUM(B37)</f>
        <v>19714</v>
      </c>
      <c r="D6" s="352">
        <f t="shared" si="0"/>
        <v>19747</v>
      </c>
      <c r="E6" s="352">
        <f t="shared" si="0"/>
        <v>27801</v>
      </c>
      <c r="F6" s="352">
        <f t="shared" si="0"/>
        <v>26318</v>
      </c>
      <c r="G6" s="352">
        <f t="shared" si="0"/>
        <v>26461</v>
      </c>
      <c r="H6" s="352">
        <f t="shared" si="0"/>
        <v>18493</v>
      </c>
      <c r="I6" s="352">
        <f t="shared" si="0"/>
        <v>15109</v>
      </c>
      <c r="J6" s="352">
        <f t="shared" si="0"/>
        <v>25258</v>
      </c>
      <c r="K6" s="352">
        <f t="shared" si="0"/>
        <v>24295</v>
      </c>
      <c r="L6" s="352">
        <f t="shared" si="0"/>
        <v>21649</v>
      </c>
      <c r="M6" s="352">
        <f t="shared" si="0"/>
        <v>14731</v>
      </c>
      <c r="N6" s="352">
        <v>7151</v>
      </c>
    </row>
    <row r="7" spans="1:15" ht="30" customHeight="1" x14ac:dyDescent="0.25">
      <c r="A7" s="353" t="s">
        <v>324</v>
      </c>
      <c r="B7" s="354">
        <v>2379</v>
      </c>
      <c r="C7" s="354">
        <v>2342</v>
      </c>
      <c r="D7" s="354">
        <v>3721</v>
      </c>
      <c r="E7" s="354">
        <v>2548</v>
      </c>
      <c r="F7" s="354">
        <v>2558</v>
      </c>
      <c r="G7" s="354">
        <f>17853/7</f>
        <v>2550.4285714285716</v>
      </c>
      <c r="H7" s="354">
        <f>17853/7+223+76</f>
        <v>2849.4285714285716</v>
      </c>
      <c r="I7" s="354">
        <f>17853/7+69</f>
        <v>2619.4285714285716</v>
      </c>
      <c r="J7" s="354">
        <f t="shared" ref="J7:L7" si="1">17853/7</f>
        <v>2550.4285714285716</v>
      </c>
      <c r="K7" s="354">
        <f t="shared" si="1"/>
        <v>2550.4285714285716</v>
      </c>
      <c r="L7" s="354">
        <f t="shared" si="1"/>
        <v>2550.4285714285716</v>
      </c>
      <c r="M7" s="354">
        <f>17853/7+1261</f>
        <v>3811.4285714285716</v>
      </c>
      <c r="N7" s="355">
        <f t="shared" ref="N7:N18" si="2">SUM(B7:M7)</f>
        <v>33030.000000000007</v>
      </c>
      <c r="O7" s="364">
        <f>'1.sz.tábla'!G4</f>
        <v>33030</v>
      </c>
    </row>
    <row r="8" spans="1:15" ht="15.75" x14ac:dyDescent="0.25">
      <c r="A8" s="356" t="s">
        <v>188</v>
      </c>
      <c r="B8" s="357">
        <f>6600/12</f>
        <v>550</v>
      </c>
      <c r="C8" s="357">
        <f t="shared" ref="C8:L8" si="3">6600/12</f>
        <v>550</v>
      </c>
      <c r="D8" s="357">
        <f t="shared" si="3"/>
        <v>550</v>
      </c>
      <c r="E8" s="357">
        <f t="shared" si="3"/>
        <v>550</v>
      </c>
      <c r="F8" s="357">
        <f t="shared" si="3"/>
        <v>550</v>
      </c>
      <c r="G8" s="357">
        <f t="shared" si="3"/>
        <v>550</v>
      </c>
      <c r="H8" s="357">
        <f t="shared" si="3"/>
        <v>550</v>
      </c>
      <c r="I8" s="357">
        <f t="shared" si="3"/>
        <v>550</v>
      </c>
      <c r="J8" s="357">
        <f t="shared" si="3"/>
        <v>550</v>
      </c>
      <c r="K8" s="357">
        <f t="shared" si="3"/>
        <v>550</v>
      </c>
      <c r="L8" s="357">
        <f t="shared" si="3"/>
        <v>550</v>
      </c>
      <c r="M8" s="357">
        <f>6600/12+1600+1297+225</f>
        <v>3672</v>
      </c>
      <c r="N8" s="358">
        <f t="shared" si="2"/>
        <v>9722</v>
      </c>
      <c r="O8" s="364">
        <f>'1.sz.tábla'!G7</f>
        <v>9722</v>
      </c>
    </row>
    <row r="9" spans="1:15" ht="15.75" x14ac:dyDescent="0.25">
      <c r="A9" s="359" t="s">
        <v>232</v>
      </c>
      <c r="B9" s="360">
        <v>268</v>
      </c>
      <c r="C9" s="360">
        <v>473</v>
      </c>
      <c r="D9" s="360">
        <v>8905</v>
      </c>
      <c r="E9" s="360">
        <v>820</v>
      </c>
      <c r="F9" s="360">
        <v>1656</v>
      </c>
      <c r="G9" s="360">
        <v>450</v>
      </c>
      <c r="H9" s="360">
        <v>400</v>
      </c>
      <c r="I9" s="360">
        <v>1600</v>
      </c>
      <c r="J9" s="360">
        <v>3588</v>
      </c>
      <c r="K9" s="360">
        <v>1500</v>
      </c>
      <c r="L9" s="360">
        <v>340</v>
      </c>
      <c r="M9" s="360">
        <f>450+3949+30</f>
        <v>4429</v>
      </c>
      <c r="N9" s="358">
        <f t="shared" si="2"/>
        <v>24429</v>
      </c>
      <c r="O9" s="361">
        <f>'1.sz.tábla'!G6</f>
        <v>24429</v>
      </c>
    </row>
    <row r="10" spans="1:15" ht="15.75" x14ac:dyDescent="0.25">
      <c r="A10" s="359" t="s">
        <v>325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>
        <v>20</v>
      </c>
      <c r="M10" s="360"/>
      <c r="N10" s="358">
        <f t="shared" si="2"/>
        <v>20</v>
      </c>
      <c r="O10" s="364">
        <f>'1.sz.tábla'!G9</f>
        <v>20</v>
      </c>
    </row>
    <row r="11" spans="1:15" ht="15.75" x14ac:dyDescent="0.25">
      <c r="A11" s="362" t="s">
        <v>233</v>
      </c>
      <c r="B11" s="363">
        <f t="shared" ref="B11:M11" si="4">SUM(B7:B10)</f>
        <v>3197</v>
      </c>
      <c r="C11" s="363">
        <f t="shared" si="4"/>
        <v>3365</v>
      </c>
      <c r="D11" s="363">
        <f t="shared" si="4"/>
        <v>13176</v>
      </c>
      <c r="E11" s="363">
        <f t="shared" si="4"/>
        <v>3918</v>
      </c>
      <c r="F11" s="363">
        <f t="shared" si="4"/>
        <v>4764</v>
      </c>
      <c r="G11" s="363">
        <f t="shared" si="4"/>
        <v>3550.4285714285716</v>
      </c>
      <c r="H11" s="363">
        <f t="shared" si="4"/>
        <v>3799.4285714285716</v>
      </c>
      <c r="I11" s="363">
        <f t="shared" si="4"/>
        <v>4769.4285714285716</v>
      </c>
      <c r="J11" s="363">
        <f t="shared" si="4"/>
        <v>6688.4285714285716</v>
      </c>
      <c r="K11" s="363">
        <f t="shared" si="4"/>
        <v>4600.4285714285716</v>
      </c>
      <c r="L11" s="363">
        <f t="shared" si="4"/>
        <v>3460.4285714285716</v>
      </c>
      <c r="M11" s="363">
        <f t="shared" si="4"/>
        <v>11912.428571428572</v>
      </c>
      <c r="N11" s="358">
        <f t="shared" si="2"/>
        <v>67201</v>
      </c>
      <c r="O11" s="364">
        <f>SUM(O7:O10)</f>
        <v>67201</v>
      </c>
    </row>
    <row r="12" spans="1:15" ht="30.75" customHeight="1" x14ac:dyDescent="0.25">
      <c r="A12" s="359" t="s">
        <v>326</v>
      </c>
      <c r="B12" s="360"/>
      <c r="C12" s="360"/>
      <c r="D12" s="360"/>
      <c r="E12" s="360"/>
      <c r="F12" s="360"/>
      <c r="G12" s="360"/>
      <c r="H12" s="360"/>
      <c r="I12" s="360">
        <v>12750</v>
      </c>
      <c r="J12" s="360"/>
      <c r="K12" s="360"/>
      <c r="L12" s="360"/>
      <c r="M12" s="360">
        <v>9766</v>
      </c>
      <c r="N12" s="358">
        <f t="shared" si="2"/>
        <v>22516</v>
      </c>
      <c r="O12" s="364">
        <f>'1.sz.tábla'!G5</f>
        <v>22516</v>
      </c>
    </row>
    <row r="13" spans="1:15" ht="15.75" x14ac:dyDescent="0.25">
      <c r="A13" s="359" t="s">
        <v>327</v>
      </c>
      <c r="B13" s="360"/>
      <c r="C13" s="360"/>
      <c r="D13" s="360"/>
      <c r="F13" s="360"/>
      <c r="G13" s="360"/>
      <c r="H13" s="360"/>
      <c r="I13" s="360"/>
      <c r="J13" s="360"/>
      <c r="K13" s="360"/>
      <c r="L13" s="360"/>
      <c r="M13" s="360"/>
      <c r="N13" s="358">
        <f t="shared" si="2"/>
        <v>0</v>
      </c>
      <c r="O13" s="364">
        <f>'1.sz.tábla'!G8</f>
        <v>0</v>
      </c>
    </row>
    <row r="14" spans="1:15" ht="15.75" x14ac:dyDescent="0.25">
      <c r="A14" s="359" t="s">
        <v>328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>
        <v>1915</v>
      </c>
      <c r="N14" s="358">
        <f t="shared" si="2"/>
        <v>1915</v>
      </c>
      <c r="O14" s="364">
        <f>'1.sz.tábla'!G10</f>
        <v>1915</v>
      </c>
    </row>
    <row r="15" spans="1:15" ht="15.75" x14ac:dyDescent="0.25">
      <c r="A15" s="362" t="s">
        <v>234</v>
      </c>
      <c r="B15" s="363">
        <f t="shared" ref="B15:M15" si="5">SUM(B12:B14)</f>
        <v>0</v>
      </c>
      <c r="C15" s="363">
        <f t="shared" si="5"/>
        <v>0</v>
      </c>
      <c r="D15" s="363">
        <f t="shared" si="5"/>
        <v>0</v>
      </c>
      <c r="E15" s="363">
        <f t="shared" si="5"/>
        <v>0</v>
      </c>
      <c r="F15" s="363">
        <f t="shared" si="5"/>
        <v>0</v>
      </c>
      <c r="G15" s="363">
        <f t="shared" si="5"/>
        <v>0</v>
      </c>
      <c r="H15" s="363">
        <f t="shared" si="5"/>
        <v>0</v>
      </c>
      <c r="I15" s="363">
        <f t="shared" si="5"/>
        <v>12750</v>
      </c>
      <c r="J15" s="363">
        <f t="shared" si="5"/>
        <v>0</v>
      </c>
      <c r="K15" s="363">
        <f t="shared" si="5"/>
        <v>0</v>
      </c>
      <c r="L15" s="363">
        <f t="shared" si="5"/>
        <v>0</v>
      </c>
      <c r="M15" s="363">
        <f t="shared" si="5"/>
        <v>11681</v>
      </c>
      <c r="N15" s="358">
        <f t="shared" si="2"/>
        <v>24431</v>
      </c>
      <c r="O15" s="364">
        <f>SUM(O12:O14)</f>
        <v>24431</v>
      </c>
    </row>
    <row r="16" spans="1:15" ht="15.75" x14ac:dyDescent="0.25">
      <c r="A16" s="365" t="s">
        <v>11</v>
      </c>
      <c r="B16" s="360">
        <f t="shared" ref="B16:M16" si="6">SUM(B11,B15)</f>
        <v>3197</v>
      </c>
      <c r="C16" s="360">
        <f t="shared" si="6"/>
        <v>3365</v>
      </c>
      <c r="D16" s="360">
        <f t="shared" si="6"/>
        <v>13176</v>
      </c>
      <c r="E16" s="360">
        <f t="shared" si="6"/>
        <v>3918</v>
      </c>
      <c r="F16" s="360">
        <f t="shared" si="6"/>
        <v>4764</v>
      </c>
      <c r="G16" s="360">
        <f t="shared" si="6"/>
        <v>3550.4285714285716</v>
      </c>
      <c r="H16" s="360">
        <f t="shared" si="6"/>
        <v>3799.4285714285716</v>
      </c>
      <c r="I16" s="360">
        <f t="shared" si="6"/>
        <v>17519.428571428572</v>
      </c>
      <c r="J16" s="360">
        <f t="shared" si="6"/>
        <v>6688.4285714285716</v>
      </c>
      <c r="K16" s="360">
        <f t="shared" si="6"/>
        <v>4600.4285714285716</v>
      </c>
      <c r="L16" s="360">
        <f t="shared" si="6"/>
        <v>3460.4285714285716</v>
      </c>
      <c r="M16" s="360">
        <f t="shared" si="6"/>
        <v>23593.428571428572</v>
      </c>
      <c r="N16" s="358">
        <f t="shared" si="2"/>
        <v>91632</v>
      </c>
      <c r="O16" s="364">
        <f>O15+O11</f>
        <v>91632</v>
      </c>
    </row>
    <row r="17" spans="1:16" ht="30.75" x14ac:dyDescent="0.25">
      <c r="A17" s="359" t="s">
        <v>329</v>
      </c>
      <c r="B17" s="366">
        <v>25058</v>
      </c>
      <c r="C17" s="366">
        <v>53</v>
      </c>
      <c r="D17" s="366">
        <v>39</v>
      </c>
      <c r="E17" s="366">
        <v>54</v>
      </c>
      <c r="F17" s="366">
        <v>74</v>
      </c>
      <c r="G17" s="366">
        <v>80</v>
      </c>
      <c r="H17" s="366">
        <v>94</v>
      </c>
      <c r="I17" s="366">
        <v>69</v>
      </c>
      <c r="J17" s="366">
        <v>55</v>
      </c>
      <c r="K17" s="366">
        <v>59</v>
      </c>
      <c r="L17" s="366">
        <v>80</v>
      </c>
      <c r="M17" s="367">
        <v>786</v>
      </c>
      <c r="N17" s="358">
        <f t="shared" si="2"/>
        <v>26501</v>
      </c>
      <c r="O17" s="380">
        <f>'1.sz.tábla'!G14</f>
        <v>26501</v>
      </c>
      <c r="P17" t="s">
        <v>404</v>
      </c>
    </row>
    <row r="18" spans="1:16" ht="15.75" x14ac:dyDescent="0.25">
      <c r="A18" s="359" t="s">
        <v>330</v>
      </c>
      <c r="B18" s="360">
        <v>5000</v>
      </c>
      <c r="C18" s="360"/>
      <c r="D18" s="360"/>
      <c r="E18" s="360"/>
      <c r="F18" s="360"/>
      <c r="G18" s="360"/>
      <c r="H18" s="360"/>
      <c r="I18" s="360"/>
      <c r="J18" s="360">
        <v>474</v>
      </c>
      <c r="K18" s="360"/>
      <c r="L18" s="360"/>
      <c r="M18" s="360"/>
      <c r="N18" s="368">
        <f t="shared" si="2"/>
        <v>5474</v>
      </c>
      <c r="O18" s="364">
        <f>'2.sz.tábla'!G78</f>
        <v>5474</v>
      </c>
    </row>
    <row r="19" spans="1:16" ht="15.75" x14ac:dyDescent="0.25">
      <c r="A19" s="365" t="s">
        <v>15</v>
      </c>
      <c r="B19" s="369">
        <f t="shared" ref="B19:N19" si="7">SUM(B16:B18)</f>
        <v>33255</v>
      </c>
      <c r="C19" s="369">
        <f t="shared" si="7"/>
        <v>3418</v>
      </c>
      <c r="D19" s="369">
        <f t="shared" si="7"/>
        <v>13215</v>
      </c>
      <c r="E19" s="369">
        <f t="shared" si="7"/>
        <v>3972</v>
      </c>
      <c r="F19" s="369">
        <f t="shared" si="7"/>
        <v>4838</v>
      </c>
      <c r="G19" s="369">
        <f t="shared" si="7"/>
        <v>3630.4285714285716</v>
      </c>
      <c r="H19" s="369">
        <f t="shared" si="7"/>
        <v>3893.4285714285716</v>
      </c>
      <c r="I19" s="369">
        <f t="shared" si="7"/>
        <v>17588.428571428572</v>
      </c>
      <c r="J19" s="369">
        <f t="shared" si="7"/>
        <v>7217.4285714285716</v>
      </c>
      <c r="K19" s="369">
        <f t="shared" si="7"/>
        <v>4659.4285714285716</v>
      </c>
      <c r="L19" s="369">
        <f t="shared" si="7"/>
        <v>3540.4285714285716</v>
      </c>
      <c r="M19" s="369">
        <f t="shared" si="7"/>
        <v>24379.428571428572</v>
      </c>
      <c r="N19" s="370">
        <f t="shared" si="7"/>
        <v>123607</v>
      </c>
      <c r="O19" s="364">
        <f>O18+O17+O16</f>
        <v>123607</v>
      </c>
    </row>
    <row r="20" spans="1:16" ht="15" x14ac:dyDescent="0.2">
      <c r="A20" s="359" t="s">
        <v>331</v>
      </c>
      <c r="B20" s="360">
        <v>1140</v>
      </c>
      <c r="C20" s="360">
        <v>1075</v>
      </c>
      <c r="D20" s="360">
        <v>1095</v>
      </c>
      <c r="E20" s="360">
        <v>1126</v>
      </c>
      <c r="F20" s="360">
        <v>1106</v>
      </c>
      <c r="G20" s="360">
        <f>8786/7+23</f>
        <v>1278.1428571428571</v>
      </c>
      <c r="H20" s="360">
        <f>8786/7+59</f>
        <v>1314.1428571428571</v>
      </c>
      <c r="I20" s="360">
        <f>8786/7+54</f>
        <v>1309.1428571428571</v>
      </c>
      <c r="J20" s="360">
        <f>8786/7+223</f>
        <v>1478.1428571428571</v>
      </c>
      <c r="K20" s="360">
        <f>8786/7+22</f>
        <v>1277.1428571428571</v>
      </c>
      <c r="L20" s="360">
        <f>8786/7+22</f>
        <v>1277.1428571428571</v>
      </c>
      <c r="M20" s="360">
        <f>8786/7+22+299-430</f>
        <v>1146.1428571428571</v>
      </c>
      <c r="N20" s="371">
        <f t="shared" ref="N20:N36" si="8">SUM(B20:M20)</f>
        <v>14621.999999999998</v>
      </c>
      <c r="O20" s="364">
        <f>'3.tábla'!G7</f>
        <v>14622</v>
      </c>
    </row>
    <row r="21" spans="1:16" ht="15" x14ac:dyDescent="0.2">
      <c r="A21" s="359" t="s">
        <v>332</v>
      </c>
      <c r="B21" s="360">
        <v>361</v>
      </c>
      <c r="C21" s="360">
        <v>259</v>
      </c>
      <c r="D21" s="360">
        <v>283</v>
      </c>
      <c r="E21" s="360">
        <v>267</v>
      </c>
      <c r="F21" s="360">
        <v>295</v>
      </c>
      <c r="G21" s="360">
        <f>1597/7</f>
        <v>228.14285714285714</v>
      </c>
      <c r="H21" s="360">
        <f>1597/7+16</f>
        <v>244.14285714285714</v>
      </c>
      <c r="I21" s="360">
        <f>1597/7+15</f>
        <v>243.14285714285714</v>
      </c>
      <c r="J21" s="360">
        <f>1597/7+16</f>
        <v>244.14285714285714</v>
      </c>
      <c r="K21" s="360">
        <f>1597/7+16</f>
        <v>244.14285714285714</v>
      </c>
      <c r="L21" s="360">
        <f>1597/7+15</f>
        <v>243.14285714285714</v>
      </c>
      <c r="M21" s="360">
        <f>1597/7+15+81+430</f>
        <v>754.14285714285711</v>
      </c>
      <c r="N21" s="371">
        <f t="shared" si="8"/>
        <v>3666.0000000000009</v>
      </c>
      <c r="O21" s="364">
        <f>'3.tábla'!G8</f>
        <v>3666</v>
      </c>
    </row>
    <row r="22" spans="1:16" ht="15" customHeight="1" x14ac:dyDescent="0.2">
      <c r="A22" s="359" t="s">
        <v>333</v>
      </c>
      <c r="B22" s="360">
        <v>2158</v>
      </c>
      <c r="C22" s="360">
        <v>1530</v>
      </c>
      <c r="D22" s="360">
        <v>1639</v>
      </c>
      <c r="E22" s="360">
        <v>2590</v>
      </c>
      <c r="F22" s="360">
        <v>2435</v>
      </c>
      <c r="G22" s="360">
        <f>18492/7</f>
        <v>2641.7142857142858</v>
      </c>
      <c r="H22" s="360">
        <f t="shared" ref="H22:I22" si="9">18492/7</f>
        <v>2641.7142857142858</v>
      </c>
      <c r="I22" s="360">
        <f t="shared" si="9"/>
        <v>2641.7142857142858</v>
      </c>
      <c r="J22" s="360">
        <f>18492/7+141</f>
        <v>2782.7142857142858</v>
      </c>
      <c r="K22" s="360">
        <f>18492/7+141</f>
        <v>2782.7142857142858</v>
      </c>
      <c r="L22" s="360">
        <f>18492/7+141</f>
        <v>2782.7142857142858</v>
      </c>
      <c r="M22" s="360">
        <f>18492/7+141</f>
        <v>2782.7142857142858</v>
      </c>
      <c r="N22" s="371">
        <f t="shared" si="8"/>
        <v>29408.000000000004</v>
      </c>
      <c r="O22" s="364">
        <f>'3.tábla'!G9</f>
        <v>29408</v>
      </c>
    </row>
    <row r="23" spans="1:16" ht="15" x14ac:dyDescent="0.2">
      <c r="A23" s="359" t="s">
        <v>235</v>
      </c>
      <c r="B23" s="360">
        <v>79</v>
      </c>
      <c r="C23" s="360">
        <v>63</v>
      </c>
      <c r="D23" s="360">
        <v>123</v>
      </c>
      <c r="E23" s="360">
        <v>64</v>
      </c>
      <c r="F23" s="360">
        <v>49</v>
      </c>
      <c r="G23" s="360">
        <f>1487/7</f>
        <v>212.42857142857142</v>
      </c>
      <c r="H23" s="360">
        <f t="shared" ref="H23:L23" si="10">1487/7</f>
        <v>212.42857142857142</v>
      </c>
      <c r="I23" s="360">
        <f t="shared" si="10"/>
        <v>212.42857142857142</v>
      </c>
      <c r="J23" s="360">
        <f t="shared" si="10"/>
        <v>212.42857142857142</v>
      </c>
      <c r="K23" s="360">
        <f t="shared" si="10"/>
        <v>212.42857142857142</v>
      </c>
      <c r="L23" s="360">
        <f t="shared" si="10"/>
        <v>212.42857142857142</v>
      </c>
      <c r="M23" s="360">
        <f>1487/7+2200+577</f>
        <v>2989.4285714285716</v>
      </c>
      <c r="N23" s="371">
        <f t="shared" si="8"/>
        <v>4642</v>
      </c>
      <c r="O23" s="364">
        <f>'3.tábla'!G48</f>
        <v>4642</v>
      </c>
    </row>
    <row r="24" spans="1:16" ht="29.25" customHeight="1" x14ac:dyDescent="0.2">
      <c r="A24" s="359" t="s">
        <v>334</v>
      </c>
      <c r="B24" s="360"/>
      <c r="C24" s="360"/>
      <c r="E24" s="360"/>
      <c r="F24" s="428"/>
      <c r="G24" s="428"/>
      <c r="I24" s="360">
        <v>344</v>
      </c>
      <c r="J24" s="360">
        <v>100</v>
      </c>
      <c r="K24" s="360">
        <v>100</v>
      </c>
      <c r="L24" s="360">
        <v>100</v>
      </c>
      <c r="M24" s="360"/>
      <c r="N24" s="371">
        <f t="shared" si="8"/>
        <v>644</v>
      </c>
      <c r="O24" s="364">
        <f>'3.tábla'!G32</f>
        <v>644</v>
      </c>
    </row>
    <row r="25" spans="1:16" ht="34.5" customHeight="1" x14ac:dyDescent="0.2">
      <c r="A25" s="359" t="s">
        <v>335</v>
      </c>
      <c r="B25" s="360"/>
      <c r="C25" s="360"/>
      <c r="D25" s="360">
        <v>1950</v>
      </c>
      <c r="E25" s="360">
        <v>672</v>
      </c>
      <c r="F25" s="360">
        <v>672</v>
      </c>
      <c r="G25" s="360">
        <f>5470/7</f>
        <v>781.42857142857144</v>
      </c>
      <c r="H25" s="360">
        <f t="shared" ref="H25:L25" si="11">5470/7</f>
        <v>781.42857142857144</v>
      </c>
      <c r="I25" s="360">
        <f t="shared" si="11"/>
        <v>781.42857142857144</v>
      </c>
      <c r="J25" s="360">
        <f t="shared" si="11"/>
        <v>781.42857142857144</v>
      </c>
      <c r="K25" s="360">
        <f t="shared" si="11"/>
        <v>781.42857142857144</v>
      </c>
      <c r="L25" s="360">
        <f t="shared" si="11"/>
        <v>781.42857142857144</v>
      </c>
      <c r="M25" s="360">
        <f>5470/7+632</f>
        <v>1413.4285714285716</v>
      </c>
      <c r="N25" s="371">
        <f t="shared" si="8"/>
        <v>9396</v>
      </c>
      <c r="O25" s="372">
        <f>'3.tábla'!G31</f>
        <v>9396</v>
      </c>
    </row>
    <row r="26" spans="1:16" ht="34.5" customHeight="1" x14ac:dyDescent="0.2">
      <c r="A26" s="359" t="s">
        <v>336</v>
      </c>
      <c r="B26" s="360"/>
      <c r="C26" s="360"/>
      <c r="D26" s="360"/>
      <c r="E26" s="360"/>
      <c r="F26" s="360"/>
      <c r="G26" s="360">
        <v>72</v>
      </c>
      <c r="H26" s="360"/>
      <c r="I26" s="360"/>
      <c r="J26" s="360"/>
      <c r="K26" s="360"/>
      <c r="L26" s="360"/>
      <c r="M26" s="360"/>
      <c r="N26" s="371">
        <f t="shared" si="8"/>
        <v>72</v>
      </c>
      <c r="O26" s="364">
        <f>'3.tábla'!G33</f>
        <v>72</v>
      </c>
    </row>
    <row r="27" spans="1:16" ht="15" x14ac:dyDescent="0.2">
      <c r="A27" s="359" t="s">
        <v>21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>
        <v>10129</v>
      </c>
      <c r="N27" s="371">
        <f t="shared" si="8"/>
        <v>10129</v>
      </c>
      <c r="O27" s="364">
        <f>'1.sz.tábla'!G28</f>
        <v>10129</v>
      </c>
    </row>
    <row r="28" spans="1:16" ht="15" x14ac:dyDescent="0.2">
      <c r="A28" s="362" t="s">
        <v>236</v>
      </c>
      <c r="B28" s="363">
        <f>SUM(B20:B27)</f>
        <v>3738</v>
      </c>
      <c r="C28" s="363">
        <f t="shared" ref="C28:M28" si="12">SUM(C20:C27)</f>
        <v>2927</v>
      </c>
      <c r="D28" s="363">
        <f t="shared" si="12"/>
        <v>5090</v>
      </c>
      <c r="E28" s="363">
        <f t="shared" si="12"/>
        <v>4719</v>
      </c>
      <c r="F28" s="363">
        <f t="shared" si="12"/>
        <v>4557</v>
      </c>
      <c r="G28" s="363">
        <f t="shared" si="12"/>
        <v>5213.8571428571431</v>
      </c>
      <c r="H28" s="363">
        <f t="shared" si="12"/>
        <v>5193.8571428571431</v>
      </c>
      <c r="I28" s="363">
        <f t="shared" si="12"/>
        <v>5531.8571428571431</v>
      </c>
      <c r="J28" s="363">
        <f t="shared" si="12"/>
        <v>5598.8571428571431</v>
      </c>
      <c r="K28" s="363">
        <f t="shared" si="12"/>
        <v>5397.8571428571431</v>
      </c>
      <c r="L28" s="363">
        <f t="shared" si="12"/>
        <v>5396.8571428571431</v>
      </c>
      <c r="M28" s="363">
        <f t="shared" si="12"/>
        <v>19214.857142857145</v>
      </c>
      <c r="N28" s="371">
        <f t="shared" si="8"/>
        <v>72579.000000000015</v>
      </c>
      <c r="O28" s="364">
        <f>SUM(O20:O27)</f>
        <v>72579</v>
      </c>
    </row>
    <row r="29" spans="1:16" ht="15" x14ac:dyDescent="0.2">
      <c r="A29" s="359" t="s">
        <v>237</v>
      </c>
      <c r="B29" s="360"/>
      <c r="C29" s="360"/>
      <c r="D29" s="360"/>
      <c r="E29" s="360">
        <v>237</v>
      </c>
      <c r="F29" s="360">
        <v>64</v>
      </c>
      <c r="G29" s="360">
        <v>4477</v>
      </c>
      <c r="H29" s="360">
        <v>176</v>
      </c>
      <c r="I29" s="360"/>
      <c r="J29" s="360">
        <v>200</v>
      </c>
      <c r="K29" s="360"/>
      <c r="L29" s="360">
        <v>100</v>
      </c>
      <c r="M29" s="360"/>
      <c r="N29" s="371">
        <f t="shared" si="8"/>
        <v>5254</v>
      </c>
      <c r="O29" s="372">
        <f>'1.sz.tábla'!G25</f>
        <v>5254</v>
      </c>
    </row>
    <row r="30" spans="1:16" ht="15" x14ac:dyDescent="0.2">
      <c r="A30" s="359" t="s">
        <v>238</v>
      </c>
      <c r="B30" s="360">
        <f>1001+9766</f>
        <v>10767</v>
      </c>
      <c r="C30" s="360">
        <v>268</v>
      </c>
      <c r="D30" s="360"/>
      <c r="E30" s="360">
        <v>499</v>
      </c>
      <c r="F30" s="360">
        <v>74</v>
      </c>
      <c r="G30" s="421">
        <f>13353/7</f>
        <v>1907.5714285714287</v>
      </c>
      <c r="H30" s="421">
        <f t="shared" ref="H30:K30" si="13">13353/7</f>
        <v>1907.5714285714287</v>
      </c>
      <c r="I30" s="421">
        <f t="shared" si="13"/>
        <v>1907.5714285714287</v>
      </c>
      <c r="J30" s="421">
        <f t="shared" si="13"/>
        <v>1907.5714285714287</v>
      </c>
      <c r="K30" s="421">
        <f t="shared" si="13"/>
        <v>1907.5714285714287</v>
      </c>
      <c r="L30" s="421">
        <f>13353/7+600-264+1970+748</f>
        <v>4961.5714285714284</v>
      </c>
      <c r="M30" s="421">
        <f>13353/7+12750+3142</f>
        <v>17799.571428571428</v>
      </c>
      <c r="N30" s="371">
        <f t="shared" si="8"/>
        <v>43907</v>
      </c>
      <c r="O30" s="364">
        <f>'1.sz.tábla'!G26</f>
        <v>43907</v>
      </c>
    </row>
    <row r="31" spans="1:16" ht="15" x14ac:dyDescent="0.2">
      <c r="A31" s="359" t="s">
        <v>337</v>
      </c>
      <c r="B31" s="360"/>
      <c r="C31" s="360"/>
      <c r="D31" s="360">
        <v>71</v>
      </c>
      <c r="E31" s="360"/>
      <c r="F31" s="360"/>
      <c r="G31" s="360"/>
      <c r="H31" s="360"/>
      <c r="I31" s="360"/>
      <c r="J31" s="360"/>
      <c r="K31" s="360"/>
      <c r="L31" s="360"/>
      <c r="M31" s="360"/>
      <c r="N31" s="371">
        <f t="shared" si="8"/>
        <v>71</v>
      </c>
      <c r="O31" s="364">
        <f>'1.sz.tábla'!G24</f>
        <v>71</v>
      </c>
    </row>
    <row r="32" spans="1:16" ht="15" x14ac:dyDescent="0.2">
      <c r="A32" s="362" t="s">
        <v>239</v>
      </c>
      <c r="B32" s="363">
        <f t="shared" ref="B32:M32" si="14">SUM(B29:B31)</f>
        <v>10767</v>
      </c>
      <c r="C32" s="363">
        <f t="shared" si="14"/>
        <v>268</v>
      </c>
      <c r="D32" s="363">
        <f t="shared" si="14"/>
        <v>71</v>
      </c>
      <c r="E32" s="363">
        <f t="shared" si="14"/>
        <v>736</v>
      </c>
      <c r="F32" s="363">
        <f t="shared" si="14"/>
        <v>138</v>
      </c>
      <c r="G32" s="363">
        <f t="shared" si="14"/>
        <v>6384.5714285714284</v>
      </c>
      <c r="H32" s="363">
        <f t="shared" si="14"/>
        <v>2083.5714285714284</v>
      </c>
      <c r="I32" s="363">
        <f t="shared" si="14"/>
        <v>1907.5714285714287</v>
      </c>
      <c r="J32" s="363">
        <f t="shared" si="14"/>
        <v>2107.5714285714284</v>
      </c>
      <c r="K32" s="363">
        <f t="shared" si="14"/>
        <v>1907.5714285714287</v>
      </c>
      <c r="L32" s="363">
        <f t="shared" si="14"/>
        <v>5061.5714285714284</v>
      </c>
      <c r="M32" s="363">
        <f t="shared" si="14"/>
        <v>17799.571428571428</v>
      </c>
      <c r="N32" s="371">
        <f t="shared" si="8"/>
        <v>49231.999999999993</v>
      </c>
      <c r="O32" s="364">
        <f>SUM(O29:O31)</f>
        <v>49232</v>
      </c>
    </row>
    <row r="33" spans="1:15" ht="15.75" x14ac:dyDescent="0.25">
      <c r="A33" s="365" t="s">
        <v>24</v>
      </c>
      <c r="B33" s="367">
        <f t="shared" ref="B33:M33" si="15">SUM(B32,B28)</f>
        <v>14505</v>
      </c>
      <c r="C33" s="367">
        <f t="shared" si="15"/>
        <v>3195</v>
      </c>
      <c r="D33" s="367">
        <f t="shared" si="15"/>
        <v>5161</v>
      </c>
      <c r="E33" s="367">
        <f t="shared" si="15"/>
        <v>5455</v>
      </c>
      <c r="F33" s="367">
        <f t="shared" si="15"/>
        <v>4695</v>
      </c>
      <c r="G33" s="367">
        <f t="shared" si="15"/>
        <v>11598.428571428572</v>
      </c>
      <c r="H33" s="367">
        <f t="shared" si="15"/>
        <v>7277.4285714285716</v>
      </c>
      <c r="I33" s="367">
        <f t="shared" si="15"/>
        <v>7439.4285714285716</v>
      </c>
      <c r="J33" s="367">
        <f t="shared" si="15"/>
        <v>7706.4285714285716</v>
      </c>
      <c r="K33" s="367">
        <f t="shared" si="15"/>
        <v>7305.4285714285716</v>
      </c>
      <c r="L33" s="367">
        <f t="shared" si="15"/>
        <v>10458.428571428572</v>
      </c>
      <c r="M33" s="367">
        <f t="shared" si="15"/>
        <v>37014.428571428572</v>
      </c>
      <c r="N33" s="371">
        <f t="shared" si="8"/>
        <v>121811</v>
      </c>
      <c r="O33" s="364">
        <f>O32+O28</f>
        <v>121811</v>
      </c>
    </row>
    <row r="34" spans="1:15" ht="47.25" x14ac:dyDescent="0.25">
      <c r="A34" s="365" t="s">
        <v>338</v>
      </c>
      <c r="B34" s="367">
        <f>1377-190</f>
        <v>1187</v>
      </c>
      <c r="C34" s="367">
        <v>190</v>
      </c>
      <c r="D34" s="367"/>
      <c r="E34" s="367"/>
      <c r="F34" s="367"/>
      <c r="G34" s="367"/>
      <c r="H34" s="367"/>
      <c r="I34" s="367"/>
      <c r="J34" s="367"/>
      <c r="K34" s="367"/>
      <c r="L34" s="367"/>
      <c r="M34" s="367">
        <v>419</v>
      </c>
      <c r="N34" s="371">
        <f t="shared" si="8"/>
        <v>1796</v>
      </c>
      <c r="O34" s="364">
        <f>'1.sz.tábla'!G33</f>
        <v>1796</v>
      </c>
    </row>
    <row r="35" spans="1:15" ht="15.75" x14ac:dyDescent="0.25">
      <c r="A35" s="373" t="s">
        <v>27</v>
      </c>
      <c r="B35" s="374">
        <f t="shared" ref="B35:M35" si="16">SUM(B33:B34)</f>
        <v>15692</v>
      </c>
      <c r="C35" s="374">
        <f t="shared" si="16"/>
        <v>3385</v>
      </c>
      <c r="D35" s="374">
        <f t="shared" si="16"/>
        <v>5161</v>
      </c>
      <c r="E35" s="374">
        <f t="shared" si="16"/>
        <v>5455</v>
      </c>
      <c r="F35" s="374">
        <f t="shared" si="16"/>
        <v>4695</v>
      </c>
      <c r="G35" s="374">
        <f t="shared" si="16"/>
        <v>11598.428571428572</v>
      </c>
      <c r="H35" s="374">
        <f t="shared" si="16"/>
        <v>7277.4285714285716</v>
      </c>
      <c r="I35" s="374">
        <f t="shared" si="16"/>
        <v>7439.4285714285716</v>
      </c>
      <c r="J35" s="374">
        <f t="shared" si="16"/>
        <v>7706.4285714285716</v>
      </c>
      <c r="K35" s="374">
        <f t="shared" si="16"/>
        <v>7305.4285714285716</v>
      </c>
      <c r="L35" s="374">
        <f t="shared" si="16"/>
        <v>10458.428571428572</v>
      </c>
      <c r="M35" s="374">
        <f t="shared" si="16"/>
        <v>37433.428571428572</v>
      </c>
      <c r="N35" s="371">
        <f t="shared" si="8"/>
        <v>123607</v>
      </c>
      <c r="O35" s="364">
        <f>O34+O33</f>
        <v>123607</v>
      </c>
    </row>
    <row r="36" spans="1:15" ht="16.5" thickBot="1" x14ac:dyDescent="0.3">
      <c r="A36" s="375" t="s">
        <v>339</v>
      </c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1">
        <f t="shared" si="8"/>
        <v>0</v>
      </c>
    </row>
    <row r="37" spans="1:15" ht="16.5" thickBot="1" x14ac:dyDescent="0.3">
      <c r="A37" s="377" t="s">
        <v>240</v>
      </c>
      <c r="B37" s="378">
        <f>B6+B16+B17-B35-B36</f>
        <v>19714</v>
      </c>
      <c r="C37" s="378">
        <f t="shared" ref="C37:N37" si="17">C6+C16+C17-C35-C36</f>
        <v>19747</v>
      </c>
      <c r="D37" s="378">
        <f t="shared" si="17"/>
        <v>27801</v>
      </c>
      <c r="E37" s="378">
        <f t="shared" si="17"/>
        <v>26318</v>
      </c>
      <c r="F37" s="378">
        <f t="shared" si="17"/>
        <v>26461</v>
      </c>
      <c r="G37" s="378">
        <f t="shared" si="17"/>
        <v>18493</v>
      </c>
      <c r="H37" s="378">
        <f t="shared" si="17"/>
        <v>15109</v>
      </c>
      <c r="I37" s="378">
        <f t="shared" si="17"/>
        <v>25258</v>
      </c>
      <c r="J37" s="378">
        <f t="shared" si="17"/>
        <v>24295</v>
      </c>
      <c r="K37" s="378">
        <f t="shared" si="17"/>
        <v>21649</v>
      </c>
      <c r="L37" s="378">
        <f t="shared" si="17"/>
        <v>14731</v>
      </c>
      <c r="M37" s="378">
        <f t="shared" si="17"/>
        <v>1677</v>
      </c>
      <c r="N37" s="378">
        <f t="shared" si="17"/>
        <v>1677</v>
      </c>
      <c r="O37" s="364"/>
    </row>
    <row r="39" spans="1:15" x14ac:dyDescent="0.2">
      <c r="N39" s="364">
        <f>SUM(N20)</f>
        <v>14621.999999999998</v>
      </c>
    </row>
  </sheetData>
  <sheetProtection selectLockedCells="1" selectUnlockedCells="1"/>
  <mergeCells count="2">
    <mergeCell ref="M2:N2"/>
    <mergeCell ref="A3:N3"/>
  </mergeCells>
  <phoneticPr fontId="27" type="noConversion"/>
  <pageMargins left="0.25" right="0.25" top="0.75" bottom="0.75" header="0.3" footer="0.3"/>
  <pageSetup paperSize="9" scale="57" firstPageNumber="0" orientation="landscape" r:id="rId1"/>
  <headerFooter alignWithMargins="0">
    <oddHeader>&amp;LPécsely Község Önkormányzata&amp;C8. melléklet a .../2017. (.....) rendelethez&amp;R&amp;P. oldalezer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8</vt:i4>
      </vt:variant>
    </vt:vector>
  </HeadingPairs>
  <TitlesOfParts>
    <vt:vector size="17" baseType="lpstr">
      <vt:lpstr>1.sz.tábla</vt:lpstr>
      <vt:lpstr>2.sz.tábla</vt:lpstr>
      <vt:lpstr>2a. tábla</vt:lpstr>
      <vt:lpstr>3.tábla</vt:lpstr>
      <vt:lpstr>4. sz. tábla</vt:lpstr>
      <vt:lpstr>5.sz.tábla </vt:lpstr>
      <vt:lpstr>6. sz. tábla </vt:lpstr>
      <vt:lpstr>7. sz. tábla</vt:lpstr>
      <vt:lpstr>8. sz. tábla </vt:lpstr>
      <vt:lpstr>'1.sz.tábla'!Nyomtatási_terület</vt:lpstr>
      <vt:lpstr>'2.sz.tábla'!Nyomtatási_terület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Hossó Erika</cp:lastModifiedBy>
  <cp:lastPrinted>2016-02-26T07:29:16Z</cp:lastPrinted>
  <dcterms:created xsi:type="dcterms:W3CDTF">2014-05-27T12:51:39Z</dcterms:created>
  <dcterms:modified xsi:type="dcterms:W3CDTF">2017-02-14T14:25:31Z</dcterms:modified>
</cp:coreProperties>
</file>