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55" yWindow="285" windowWidth="14400" windowHeight="11400"/>
  </bookViews>
  <sheets>
    <sheet name="1.sz.tábla" sheetId="42" r:id="rId1"/>
    <sheet name="2.sz.tábla" sheetId="41" r:id="rId2"/>
    <sheet name="3.tábla" sheetId="40" r:id="rId3"/>
    <sheet name="4. sz. tábla" sheetId="49" r:id="rId4"/>
    <sheet name="5.sz.tábla " sheetId="70" r:id="rId5"/>
    <sheet name="6. sz. tábla " sheetId="51" r:id="rId6"/>
    <sheet name="7. sz. tábla" sheetId="62" r:id="rId7"/>
    <sheet name="8. sz. tábla " sheetId="21" r:id="rId8"/>
  </sheets>
  <externalReferences>
    <externalReference r:id="rId9"/>
    <externalReference r:id="rId10"/>
  </externalReferences>
  <definedNames>
    <definedName name="_xlnm.Print_Area" localSheetId="0">'1.sz.tábla'!$A$3:$E$38</definedName>
    <definedName name="_xlnm.Print_Area" localSheetId="1">'2.sz.tábla'!$A$1:$E$97</definedName>
    <definedName name="_xlnm.Print_Area" localSheetId="2">'3.tábla'!$A$1:$E$49</definedName>
    <definedName name="_xlnm.Print_Area" localSheetId="3">'4. sz. tábla'!$A$1:$E$25</definedName>
    <definedName name="_xlnm.Print_Area" localSheetId="4">'5.sz.tábla '!$A$1:$E$38</definedName>
    <definedName name="_xlnm.Print_Area" localSheetId="5">'6. sz. tábla '!$A$1:$J$61</definedName>
    <definedName name="_xlnm.Print_Area" localSheetId="6">'7. sz. tábla'!$A$2:$J$90</definedName>
    <definedName name="_xlnm.Print_Area" localSheetId="7">'8. sz. tábla '!$A$1:$N$49</definedName>
    <definedName name="onev">[1]kod!$BT$34:$BT$3186</definedName>
  </definedNames>
  <calcPr calcId="144525"/>
</workbook>
</file>

<file path=xl/calcChain.xml><?xml version="1.0" encoding="utf-8"?>
<calcChain xmlns="http://schemas.openxmlformats.org/spreadsheetml/2006/main">
  <c r="J32" i="62" l="1"/>
  <c r="E32" i="62"/>
  <c r="D32" i="62"/>
  <c r="I32" i="62"/>
  <c r="D90" i="62" l="1"/>
  <c r="E90" i="62" s="1"/>
  <c r="I89" i="62"/>
  <c r="I80" i="62"/>
  <c r="I78" i="62"/>
  <c r="D89" i="62"/>
  <c r="D86" i="62"/>
  <c r="D80" i="62"/>
  <c r="D78" i="62"/>
  <c r="I66" i="62"/>
  <c r="D66" i="62"/>
  <c r="J63" i="62"/>
  <c r="I63" i="62"/>
  <c r="D63" i="62"/>
  <c r="I49" i="62"/>
  <c r="I47" i="62"/>
  <c r="I44" i="62"/>
  <c r="I62" i="62"/>
  <c r="I59" i="62"/>
  <c r="I56" i="62"/>
  <c r="D62" i="62"/>
  <c r="D59" i="62"/>
  <c r="D49" i="62"/>
  <c r="D47" i="62"/>
  <c r="D39" i="62"/>
  <c r="I35" i="62"/>
  <c r="D35" i="62"/>
  <c r="J29" i="62"/>
  <c r="I31" i="62"/>
  <c r="I29" i="62"/>
  <c r="I25" i="62"/>
  <c r="I24" i="62"/>
  <c r="I22" i="62"/>
  <c r="D31" i="62"/>
  <c r="D29" i="62"/>
  <c r="D24" i="62"/>
  <c r="D23" i="62"/>
  <c r="D22" i="62"/>
  <c r="I19" i="62"/>
  <c r="I16" i="62"/>
  <c r="I15" i="62"/>
  <c r="I14" i="62"/>
  <c r="I13" i="62"/>
  <c r="I11" i="62"/>
  <c r="I10" i="62"/>
  <c r="I9" i="62"/>
  <c r="I8" i="62"/>
  <c r="E20" i="62"/>
  <c r="E18" i="62"/>
  <c r="D20" i="62"/>
  <c r="D19" i="62"/>
  <c r="D18" i="62"/>
  <c r="D11" i="62"/>
  <c r="C12" i="62"/>
  <c r="C13" i="62"/>
  <c r="C14" i="62"/>
  <c r="C15" i="62"/>
  <c r="C16" i="62"/>
  <c r="C17" i="62"/>
  <c r="D10" i="62"/>
  <c r="D9" i="62"/>
  <c r="D8" i="62"/>
  <c r="I56" i="51" l="1"/>
  <c r="I55" i="51" s="1"/>
  <c r="I52" i="51"/>
  <c r="E61" i="51"/>
  <c r="D61" i="51"/>
  <c r="D60" i="51"/>
  <c r="D59" i="51"/>
  <c r="D58" i="51"/>
  <c r="E57" i="51"/>
  <c r="C56" i="51"/>
  <c r="D56" i="51"/>
  <c r="C57" i="51"/>
  <c r="D57" i="51"/>
  <c r="B57" i="51"/>
  <c r="B56" i="51"/>
  <c r="D55" i="51"/>
  <c r="I50" i="51"/>
  <c r="D50" i="51"/>
  <c r="I36" i="51"/>
  <c r="I34" i="51" s="1"/>
  <c r="I33" i="51"/>
  <c r="I31" i="51"/>
  <c r="I39" i="51" s="1"/>
  <c r="D43" i="51"/>
  <c r="D33" i="51"/>
  <c r="D32" i="51"/>
  <c r="D31" i="51"/>
  <c r="D39" i="51" s="1"/>
  <c r="I30" i="51"/>
  <c r="D30" i="51"/>
  <c r="I20" i="51"/>
  <c r="I19" i="51" s="1"/>
  <c r="I14" i="51"/>
  <c r="I13" i="51"/>
  <c r="I12" i="51"/>
  <c r="I11" i="51"/>
  <c r="I10" i="51"/>
  <c r="I9" i="51"/>
  <c r="I8" i="51"/>
  <c r="I7" i="51"/>
  <c r="D25" i="51"/>
  <c r="D24" i="51"/>
  <c r="D20" i="51"/>
  <c r="D19" i="51" s="1"/>
  <c r="E36" i="41"/>
  <c r="E37" i="41"/>
  <c r="E38" i="41"/>
  <c r="E39" i="41"/>
  <c r="E40" i="41"/>
  <c r="E41" i="41"/>
  <c r="E42" i="41"/>
  <c r="E43" i="41"/>
  <c r="E46" i="41"/>
  <c r="E18" i="42"/>
  <c r="E32" i="42"/>
  <c r="E25" i="42"/>
  <c r="N36" i="21"/>
  <c r="O35" i="21"/>
  <c r="N34" i="21"/>
  <c r="D34" i="21"/>
  <c r="O33" i="21"/>
  <c r="C33" i="21"/>
  <c r="C35" i="21" s="1"/>
  <c r="O32" i="21"/>
  <c r="M32" i="21"/>
  <c r="M33" i="21" s="1"/>
  <c r="M35" i="21" s="1"/>
  <c r="K32" i="21"/>
  <c r="J32" i="21"/>
  <c r="I32" i="21"/>
  <c r="I33" i="21" s="1"/>
  <c r="I35" i="21" s="1"/>
  <c r="H32" i="21"/>
  <c r="H33" i="21" s="1"/>
  <c r="H35" i="21" s="1"/>
  <c r="G32" i="21"/>
  <c r="F32" i="21"/>
  <c r="E32" i="21"/>
  <c r="E33" i="21" s="1"/>
  <c r="E35" i="21" s="1"/>
  <c r="D32" i="21"/>
  <c r="D33" i="21" s="1"/>
  <c r="D35" i="21" s="1"/>
  <c r="C32" i="21"/>
  <c r="B32" i="21"/>
  <c r="N31" i="21"/>
  <c r="O30" i="21"/>
  <c r="N30" i="21"/>
  <c r="L30" i="21"/>
  <c r="L32" i="21" s="1"/>
  <c r="L33" i="21" s="1"/>
  <c r="L35" i="21" s="1"/>
  <c r="O29" i="21"/>
  <c r="N29" i="21"/>
  <c r="M28" i="21"/>
  <c r="L28" i="21"/>
  <c r="I28" i="21"/>
  <c r="H28" i="21"/>
  <c r="E28" i="21"/>
  <c r="D28" i="21"/>
  <c r="C28" i="21"/>
  <c r="O27" i="21"/>
  <c r="N27" i="21"/>
  <c r="O26" i="21"/>
  <c r="N26" i="21"/>
  <c r="O25" i="21"/>
  <c r="M25" i="21"/>
  <c r="L25" i="21"/>
  <c r="K25" i="21"/>
  <c r="K28" i="21" s="1"/>
  <c r="K33" i="21" s="1"/>
  <c r="K35" i="21" s="1"/>
  <c r="J25" i="21"/>
  <c r="J28" i="21" s="1"/>
  <c r="I25" i="21"/>
  <c r="H25" i="21"/>
  <c r="G25" i="21"/>
  <c r="G28" i="21" s="1"/>
  <c r="G33" i="21" s="1"/>
  <c r="G35" i="21" s="1"/>
  <c r="F25" i="21"/>
  <c r="F28" i="21" s="1"/>
  <c r="E25" i="21"/>
  <c r="N25" i="21" s="1"/>
  <c r="O24" i="21"/>
  <c r="N24" i="21"/>
  <c r="O23" i="21"/>
  <c r="N23" i="21"/>
  <c r="O22" i="21"/>
  <c r="N22" i="21"/>
  <c r="B22" i="21"/>
  <c r="B28" i="21" s="1"/>
  <c r="N28" i="21" s="1"/>
  <c r="O21" i="21"/>
  <c r="N21" i="21"/>
  <c r="O20" i="21"/>
  <c r="O28" i="21" s="1"/>
  <c r="N20" i="21"/>
  <c r="N39" i="21" s="1"/>
  <c r="O19" i="21"/>
  <c r="O18" i="21"/>
  <c r="N18" i="21"/>
  <c r="O17" i="21"/>
  <c r="N17" i="21"/>
  <c r="O16" i="21"/>
  <c r="K16" i="21"/>
  <c r="K19" i="21" s="1"/>
  <c r="G16" i="21"/>
  <c r="G19" i="21" s="1"/>
  <c r="C16" i="21"/>
  <c r="C19" i="21" s="1"/>
  <c r="O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5" i="21" s="1"/>
  <c r="O14" i="21"/>
  <c r="N14" i="21"/>
  <c r="O13" i="21"/>
  <c r="N13" i="21"/>
  <c r="O12" i="21"/>
  <c r="N12" i="21"/>
  <c r="M11" i="21"/>
  <c r="M16" i="21" s="1"/>
  <c r="M19" i="21" s="1"/>
  <c r="K11" i="21"/>
  <c r="I11" i="21"/>
  <c r="I16" i="21" s="1"/>
  <c r="I19" i="21" s="1"/>
  <c r="G11" i="21"/>
  <c r="E11" i="21"/>
  <c r="E16" i="21" s="1"/>
  <c r="E19" i="21" s="1"/>
  <c r="C11" i="21"/>
  <c r="N10" i="21"/>
  <c r="O9" i="21"/>
  <c r="N9" i="21"/>
  <c r="O8" i="21"/>
  <c r="N8" i="21"/>
  <c r="O7" i="21"/>
  <c r="M7" i="21"/>
  <c r="L7" i="21"/>
  <c r="L11" i="21" s="1"/>
  <c r="L16" i="21" s="1"/>
  <c r="L19" i="21" s="1"/>
  <c r="K7" i="21"/>
  <c r="J7" i="21"/>
  <c r="J11" i="21" s="1"/>
  <c r="J16" i="21" s="1"/>
  <c r="J19" i="21" s="1"/>
  <c r="I7" i="21"/>
  <c r="H7" i="21"/>
  <c r="H11" i="21" s="1"/>
  <c r="H16" i="21" s="1"/>
  <c r="H19" i="21" s="1"/>
  <c r="G7" i="21"/>
  <c r="F7" i="21"/>
  <c r="F11" i="21" s="1"/>
  <c r="F16" i="21" s="1"/>
  <c r="F19" i="21" s="1"/>
  <c r="E7" i="21"/>
  <c r="D7" i="21"/>
  <c r="D11" i="21" s="1"/>
  <c r="D16" i="21" s="1"/>
  <c r="D19" i="21" s="1"/>
  <c r="C7" i="21"/>
  <c r="B7" i="21"/>
  <c r="N7" i="21" s="1"/>
  <c r="D46" i="51" l="1"/>
  <c r="D52" i="51"/>
  <c r="I40" i="51"/>
  <c r="I46" i="51"/>
  <c r="D21" i="51"/>
  <c r="B33" i="21"/>
  <c r="F33" i="21"/>
  <c r="F35" i="21" s="1"/>
  <c r="J33" i="21"/>
  <c r="J35" i="21" s="1"/>
  <c r="B11" i="21"/>
  <c r="N32" i="21"/>
  <c r="B16" i="21" l="1"/>
  <c r="O11" i="21"/>
  <c r="N11" i="21"/>
  <c r="B35" i="21"/>
  <c r="N35" i="21" s="1"/>
  <c r="N33" i="21"/>
  <c r="N16" i="21" l="1"/>
  <c r="B37" i="21"/>
  <c r="C6" i="21" s="1"/>
  <c r="C37" i="21" s="1"/>
  <c r="D6" i="21" s="1"/>
  <c r="D37" i="21" s="1"/>
  <c r="E6" i="21" s="1"/>
  <c r="E37" i="21" s="1"/>
  <c r="F6" i="21" s="1"/>
  <c r="F37" i="21" s="1"/>
  <c r="G6" i="21" s="1"/>
  <c r="G37" i="21" s="1"/>
  <c r="H6" i="21" s="1"/>
  <c r="H37" i="21" s="1"/>
  <c r="I6" i="21" s="1"/>
  <c r="I37" i="21" s="1"/>
  <c r="J6" i="21" s="1"/>
  <c r="J37" i="21" s="1"/>
  <c r="K6" i="21" s="1"/>
  <c r="K37" i="21" s="1"/>
  <c r="L6" i="21" s="1"/>
  <c r="L37" i="21" s="1"/>
  <c r="M6" i="21" s="1"/>
  <c r="M37" i="21" s="1"/>
  <c r="B19" i="21"/>
  <c r="N37" i="21" l="1"/>
  <c r="N19" i="21"/>
  <c r="D10" i="51" l="1"/>
  <c r="D9" i="51"/>
  <c r="D7" i="51"/>
  <c r="D5" i="41"/>
  <c r="D37" i="42" l="1"/>
  <c r="D36" i="42"/>
  <c r="D31" i="42"/>
  <c r="I16" i="51" s="1"/>
  <c r="D29" i="42"/>
  <c r="D28" i="42"/>
  <c r="D27" i="42"/>
  <c r="D26" i="42"/>
  <c r="D23" i="42"/>
  <c r="D22" i="42"/>
  <c r="D18" i="42"/>
  <c r="D17" i="42"/>
  <c r="D16" i="42"/>
  <c r="D12" i="42"/>
  <c r="D11" i="42"/>
  <c r="D10" i="42"/>
  <c r="D8" i="42"/>
  <c r="E94" i="41"/>
  <c r="E93" i="41"/>
  <c r="E82" i="41"/>
  <c r="D94" i="41"/>
  <c r="D82" i="41"/>
  <c r="E79" i="41"/>
  <c r="E81" i="41"/>
  <c r="E80" i="41"/>
  <c r="D79" i="41"/>
  <c r="D72" i="41"/>
  <c r="E63" i="41"/>
  <c r="E62" i="41"/>
  <c r="E60" i="41"/>
  <c r="D60" i="41"/>
  <c r="E50" i="41"/>
  <c r="E51" i="41"/>
  <c r="E52" i="41"/>
  <c r="E55" i="41"/>
  <c r="E56" i="41"/>
  <c r="E58" i="41"/>
  <c r="E49" i="41"/>
  <c r="D21" i="41"/>
  <c r="D47" i="41"/>
  <c r="D42" i="41"/>
  <c r="D39" i="41"/>
  <c r="D34" i="41"/>
  <c r="E34" i="41" s="1"/>
  <c r="E12" i="41"/>
  <c r="E49" i="40"/>
  <c r="E47" i="40"/>
  <c r="E42" i="40"/>
  <c r="E45" i="40"/>
  <c r="E39" i="40"/>
  <c r="E34" i="40"/>
  <c r="E33" i="40"/>
  <c r="E32" i="40"/>
  <c r="E31" i="40"/>
  <c r="E9" i="40"/>
  <c r="E14" i="40"/>
  <c r="E15" i="40"/>
  <c r="E16" i="40"/>
  <c r="E17" i="40"/>
  <c r="E19" i="40"/>
  <c r="E20" i="40"/>
  <c r="E21" i="40"/>
  <c r="E22" i="40"/>
  <c r="E23" i="40"/>
  <c r="E24" i="40"/>
  <c r="E25" i="40"/>
  <c r="E26" i="40"/>
  <c r="E27" i="40"/>
  <c r="E28" i="40"/>
  <c r="E12" i="40"/>
  <c r="E8" i="40"/>
  <c r="E7" i="40"/>
  <c r="E25" i="49"/>
  <c r="E5" i="49"/>
  <c r="E34" i="70"/>
  <c r="E35" i="70"/>
  <c r="E38" i="70"/>
  <c r="E24" i="70"/>
  <c r="D35" i="70"/>
  <c r="D38" i="70" s="1"/>
  <c r="D29" i="70"/>
  <c r="E29" i="70" s="1"/>
  <c r="E27" i="70"/>
  <c r="E26" i="70"/>
  <c r="D26" i="70"/>
  <c r="D24" i="70"/>
  <c r="E16" i="70"/>
  <c r="E17" i="70"/>
  <c r="E18" i="70"/>
  <c r="E19" i="70"/>
  <c r="E20" i="70"/>
  <c r="D20" i="70"/>
  <c r="E22" i="70"/>
  <c r="E23" i="70"/>
  <c r="E21" i="70"/>
  <c r="E12" i="70"/>
  <c r="D13" i="70"/>
  <c r="E17" i="49"/>
  <c r="E14" i="49"/>
  <c r="E7" i="49"/>
  <c r="E11" i="49"/>
  <c r="E12" i="49"/>
  <c r="E6" i="49"/>
  <c r="D5" i="49"/>
  <c r="D31" i="40" s="1"/>
  <c r="D14" i="49"/>
  <c r="D32" i="40" s="1"/>
  <c r="D34" i="42" l="1"/>
  <c r="I17" i="62"/>
  <c r="I18" i="62" s="1"/>
  <c r="I17" i="51"/>
  <c r="D25" i="42"/>
  <c r="D38" i="41"/>
  <c r="D33" i="41" s="1"/>
  <c r="D9" i="42" s="1"/>
  <c r="D8" i="51" s="1"/>
  <c r="D17" i="51" s="1"/>
  <c r="D6" i="41"/>
  <c r="D34" i="40"/>
  <c r="D25" i="49"/>
  <c r="D47" i="40"/>
  <c r="D9" i="40"/>
  <c r="E34" i="42" l="1"/>
  <c r="D38" i="42"/>
  <c r="E38" i="42" s="1"/>
  <c r="I51" i="51"/>
  <c r="I53" i="51" s="1"/>
  <c r="I26" i="51"/>
  <c r="I20" i="62"/>
  <c r="J18" i="62"/>
  <c r="D18" i="51"/>
  <c r="D51" i="51"/>
  <c r="D53" i="51" s="1"/>
  <c r="D26" i="51"/>
  <c r="D49" i="40"/>
  <c r="H35" i="62"/>
  <c r="J35" i="62"/>
  <c r="G35" i="62"/>
  <c r="C35" i="62"/>
  <c r="E35" i="62"/>
  <c r="B35" i="62"/>
  <c r="H66" i="62"/>
  <c r="J66" i="62"/>
  <c r="G66" i="62"/>
  <c r="E66" i="62"/>
  <c r="C66" i="62"/>
  <c r="B66" i="62"/>
  <c r="J44" i="62"/>
  <c r="H44" i="62"/>
  <c r="G44" i="62"/>
  <c r="J25" i="62"/>
  <c r="G25" i="62"/>
  <c r="I61" i="51" l="1"/>
  <c r="J61" i="51" s="1"/>
  <c r="I54" i="51"/>
  <c r="I90" i="62"/>
  <c r="J90" i="62" s="1"/>
  <c r="J20" i="62"/>
  <c r="D77" i="41"/>
  <c r="D7" i="42"/>
  <c r="D14" i="42" s="1"/>
  <c r="C32" i="42"/>
  <c r="D19" i="42" l="1"/>
  <c r="E14" i="42"/>
  <c r="D95" i="41"/>
  <c r="E11" i="41"/>
  <c r="D40" i="42" l="1"/>
  <c r="E19" i="42"/>
  <c r="H14" i="51"/>
  <c r="J14" i="51"/>
  <c r="G14" i="51"/>
  <c r="H9" i="51"/>
  <c r="G13" i="51"/>
  <c r="J36" i="51"/>
  <c r="G36" i="51"/>
  <c r="E32" i="51"/>
  <c r="E23" i="62" s="1"/>
  <c r="C13" i="70"/>
  <c r="E13" i="70"/>
  <c r="J50" i="51" l="1"/>
  <c r="H50" i="51"/>
  <c r="G50" i="51"/>
  <c r="C50" i="51"/>
  <c r="E50" i="51"/>
  <c r="B50" i="51"/>
  <c r="H30" i="51"/>
  <c r="J30" i="51"/>
  <c r="G30" i="51"/>
  <c r="C30" i="51"/>
  <c r="E30" i="51"/>
  <c r="B30" i="51"/>
  <c r="C14" i="49"/>
  <c r="B14" i="49"/>
  <c r="C80" i="41"/>
  <c r="B29" i="70"/>
  <c r="B24" i="70"/>
  <c r="B13" i="70" l="1"/>
  <c r="C24" i="70"/>
  <c r="E9" i="70"/>
  <c r="E10" i="70"/>
  <c r="E11" i="70"/>
  <c r="E8" i="70" l="1"/>
  <c r="C26" i="40"/>
  <c r="C56" i="41"/>
  <c r="C32" i="40" l="1"/>
  <c r="B47" i="41"/>
  <c r="E19" i="41"/>
  <c r="C18" i="41"/>
  <c r="E18" i="41" s="1"/>
  <c r="C42" i="41"/>
  <c r="C39" i="41"/>
  <c r="B39" i="41"/>
  <c r="C47" i="41"/>
  <c r="E47" i="41" s="1"/>
  <c r="E7" i="41" l="1"/>
  <c r="C25" i="40"/>
  <c r="C12" i="40"/>
  <c r="E29" i="42" l="1"/>
  <c r="C29" i="42"/>
  <c r="B29" i="42"/>
  <c r="C79" i="41" l="1"/>
  <c r="C20" i="51" l="1"/>
  <c r="C16" i="42"/>
  <c r="E10" i="41"/>
  <c r="E9" i="41"/>
  <c r="B26" i="70"/>
  <c r="B81" i="41"/>
  <c r="B21" i="41"/>
  <c r="C21" i="41"/>
  <c r="B34" i="41"/>
  <c r="C34" i="41"/>
  <c r="C38" i="41"/>
  <c r="B42" i="41"/>
  <c r="B60" i="41"/>
  <c r="C60" i="41"/>
  <c r="B66" i="41"/>
  <c r="B72" i="41"/>
  <c r="C72" i="41"/>
  <c r="B79" i="41"/>
  <c r="B82" i="41"/>
  <c r="C82" i="41"/>
  <c r="C94" i="41" s="1"/>
  <c r="B20" i="51" l="1"/>
  <c r="B16" i="42"/>
  <c r="B6" i="41"/>
  <c r="B5" i="41" s="1"/>
  <c r="C6" i="41"/>
  <c r="C33" i="41"/>
  <c r="E33" i="41" s="1"/>
  <c r="B94" i="41"/>
  <c r="B38" i="41"/>
  <c r="B33" i="41" s="1"/>
  <c r="B39" i="62"/>
  <c r="C39" i="62"/>
  <c r="E39" i="62"/>
  <c r="H56" i="62"/>
  <c r="J56" i="62"/>
  <c r="G56" i="62"/>
  <c r="E20" i="51" l="1"/>
  <c r="E16" i="42"/>
  <c r="C5" i="41"/>
  <c r="E5" i="41" s="1"/>
  <c r="E6" i="41"/>
  <c r="B77" i="41"/>
  <c r="B95" i="41" s="1"/>
  <c r="C77" i="41" l="1"/>
  <c r="C95" i="41" l="1"/>
  <c r="E95" i="41" s="1"/>
  <c r="E77" i="41"/>
  <c r="H15" i="62"/>
  <c r="J15" i="62"/>
  <c r="H25" i="62"/>
  <c r="E43" i="51"/>
  <c r="J34" i="51" l="1"/>
  <c r="E36" i="42" l="1"/>
  <c r="C31" i="42"/>
  <c r="E12" i="42"/>
  <c r="E11" i="42"/>
  <c r="E37" i="42" l="1"/>
  <c r="E17" i="42"/>
  <c r="E10" i="42"/>
  <c r="E9" i="42" l="1"/>
  <c r="C5" i="49"/>
  <c r="E21" i="41"/>
  <c r="C25" i="49" l="1"/>
  <c r="H14" i="62"/>
  <c r="J13" i="51"/>
  <c r="J14" i="62"/>
  <c r="E8" i="42"/>
  <c r="E31" i="51" s="1"/>
  <c r="E27" i="42" l="1"/>
  <c r="E28" i="42" l="1"/>
  <c r="C47" i="62" l="1"/>
  <c r="C49" i="62" s="1"/>
  <c r="E47" i="62"/>
  <c r="E49" i="62" s="1"/>
  <c r="C59" i="62"/>
  <c r="C62" i="62" s="1"/>
  <c r="E59" i="62"/>
  <c r="E62" i="62" s="1"/>
  <c r="H16" i="62"/>
  <c r="H59" i="62"/>
  <c r="H62" i="62" s="1"/>
  <c r="H78" i="62"/>
  <c r="H80" i="62" s="1"/>
  <c r="H89" i="62"/>
  <c r="C86" i="62"/>
  <c r="C89" i="62" s="1"/>
  <c r="C78" i="62"/>
  <c r="C80" i="62" s="1"/>
  <c r="C63" i="62" l="1"/>
  <c r="H47" i="62"/>
  <c r="H49" i="62" s="1"/>
  <c r="H63" i="62" s="1"/>
  <c r="C43" i="51"/>
  <c r="C60" i="51" s="1"/>
  <c r="C33" i="51"/>
  <c r="C24" i="62" s="1"/>
  <c r="H12" i="51"/>
  <c r="H13" i="62" s="1"/>
  <c r="C25" i="51"/>
  <c r="C24" i="51"/>
  <c r="C19" i="51"/>
  <c r="C55" i="51" s="1"/>
  <c r="C21" i="51" l="1"/>
  <c r="C59" i="51" s="1"/>
  <c r="C58" i="51" s="1"/>
  <c r="H8" i="51"/>
  <c r="H9" i="62" s="1"/>
  <c r="H7" i="51"/>
  <c r="H8" i="62" s="1"/>
  <c r="C27" i="42" l="1"/>
  <c r="H31" i="51" l="1"/>
  <c r="C11" i="42"/>
  <c r="C32" i="51" s="1"/>
  <c r="C23" i="62" s="1"/>
  <c r="C10" i="42"/>
  <c r="C9" i="51" s="1"/>
  <c r="C10" i="62" s="1"/>
  <c r="C47" i="40"/>
  <c r="H10" i="51" s="1"/>
  <c r="H11" i="62" s="1"/>
  <c r="J7" i="51"/>
  <c r="C8" i="42"/>
  <c r="C31" i="51" s="1"/>
  <c r="C36" i="42"/>
  <c r="C26" i="42"/>
  <c r="C17" i="42"/>
  <c r="C18" i="42" s="1"/>
  <c r="C19" i="62" s="1"/>
  <c r="C12" i="42"/>
  <c r="C10" i="51" s="1"/>
  <c r="C11" i="62" s="1"/>
  <c r="C35" i="70"/>
  <c r="C26" i="70"/>
  <c r="H36" i="51" l="1"/>
  <c r="H34" i="51" s="1"/>
  <c r="C29" i="70"/>
  <c r="E39" i="51"/>
  <c r="H16" i="51"/>
  <c r="H17" i="62" s="1"/>
  <c r="H13" i="51"/>
  <c r="C31" i="40"/>
  <c r="C37" i="42"/>
  <c r="H19" i="62" s="1"/>
  <c r="H20" i="51"/>
  <c r="H19" i="51" s="1"/>
  <c r="H22" i="62"/>
  <c r="C22" i="62"/>
  <c r="C29" i="62" s="1"/>
  <c r="C31" i="62" s="1"/>
  <c r="C39" i="51"/>
  <c r="C52" i="51" s="1"/>
  <c r="C28" i="42"/>
  <c r="C9" i="42"/>
  <c r="C8" i="51" s="1"/>
  <c r="C9" i="62" s="1"/>
  <c r="E31" i="42"/>
  <c r="E46" i="51" l="1"/>
  <c r="E52" i="51"/>
  <c r="H33" i="51"/>
  <c r="C25" i="42"/>
  <c r="C34" i="40"/>
  <c r="H56" i="51"/>
  <c r="H55" i="51" s="1"/>
  <c r="C46" i="51"/>
  <c r="C38" i="70"/>
  <c r="E60" i="51"/>
  <c r="G15" i="62"/>
  <c r="B27" i="42"/>
  <c r="E78" i="62"/>
  <c r="E80" i="62" s="1"/>
  <c r="E86" i="62"/>
  <c r="E89" i="62" s="1"/>
  <c r="E63" i="62"/>
  <c r="J59" i="62"/>
  <c r="J62" i="62" s="1"/>
  <c r="J78" i="62"/>
  <c r="J80" i="62" s="1"/>
  <c r="J89" i="62"/>
  <c r="E24" i="62"/>
  <c r="J16" i="62"/>
  <c r="J12" i="51"/>
  <c r="J13" i="62" s="1"/>
  <c r="B35" i="70"/>
  <c r="B36" i="42"/>
  <c r="G20" i="51" s="1"/>
  <c r="G19" i="51" s="1"/>
  <c r="G56" i="51" s="1"/>
  <c r="G55" i="51" s="1"/>
  <c r="G41" i="51"/>
  <c r="G57" i="51" s="1"/>
  <c r="B9" i="40"/>
  <c r="E25" i="51"/>
  <c r="B19" i="51"/>
  <c r="B47" i="40"/>
  <c r="B25" i="51"/>
  <c r="B5" i="49"/>
  <c r="B32" i="40"/>
  <c r="B24" i="51"/>
  <c r="G16" i="62"/>
  <c r="G12" i="51"/>
  <c r="G13" i="62" s="1"/>
  <c r="G8" i="51"/>
  <c r="G9" i="62" s="1"/>
  <c r="G47" i="62"/>
  <c r="G49" i="62" s="1"/>
  <c r="B43" i="51"/>
  <c r="B60" i="51" s="1"/>
  <c r="G34" i="51"/>
  <c r="B13" i="42"/>
  <c r="B12" i="42"/>
  <c r="G59" i="62"/>
  <c r="G62" i="62" s="1"/>
  <c r="G89" i="62"/>
  <c r="B86" i="62"/>
  <c r="B89" i="62" s="1"/>
  <c r="G78" i="62"/>
  <c r="G80" i="62" s="1"/>
  <c r="B78" i="62"/>
  <c r="B80" i="62" s="1"/>
  <c r="B59" i="62"/>
  <c r="B62" i="62" s="1"/>
  <c r="B47" i="62"/>
  <c r="B49" i="62" s="1"/>
  <c r="B31" i="42"/>
  <c r="G16" i="51" s="1"/>
  <c r="E24" i="51"/>
  <c r="B8" i="42"/>
  <c r="G10" i="51"/>
  <c r="G11" i="62" s="1"/>
  <c r="G7" i="51"/>
  <c r="G8" i="62" s="1"/>
  <c r="G17" i="62" l="1"/>
  <c r="J10" i="51"/>
  <c r="J11" i="62" s="1"/>
  <c r="G14" i="62"/>
  <c r="B25" i="49"/>
  <c r="B31" i="40"/>
  <c r="B34" i="40" s="1"/>
  <c r="G11" i="51" s="1"/>
  <c r="H11" i="51"/>
  <c r="H24" i="62"/>
  <c r="H39" i="51"/>
  <c r="B63" i="62"/>
  <c r="G63" i="62"/>
  <c r="B55" i="51"/>
  <c r="B21" i="51"/>
  <c r="B59" i="51" s="1"/>
  <c r="B58" i="51" s="1"/>
  <c r="E21" i="51"/>
  <c r="E59" i="51" s="1"/>
  <c r="E58" i="51" s="1"/>
  <c r="B17" i="42"/>
  <c r="B18" i="42" s="1"/>
  <c r="B19" i="62" s="1"/>
  <c r="B10" i="42"/>
  <c r="B31" i="51"/>
  <c r="B22" i="62" s="1"/>
  <c r="E10" i="51"/>
  <c r="E11" i="62" s="1"/>
  <c r="E9" i="51"/>
  <c r="E10" i="62" s="1"/>
  <c r="B37" i="42"/>
  <c r="J16" i="51"/>
  <c r="J17" i="62" s="1"/>
  <c r="B9" i="42"/>
  <c r="B33" i="51"/>
  <c r="B24" i="62" s="1"/>
  <c r="B38" i="70"/>
  <c r="B28" i="42"/>
  <c r="B25" i="42" s="1"/>
  <c r="B11" i="42"/>
  <c r="E19" i="51"/>
  <c r="E56" i="51" s="1"/>
  <c r="E55" i="51" s="1"/>
  <c r="G31" i="51"/>
  <c r="B10" i="51"/>
  <c r="B11" i="62" s="1"/>
  <c r="G9" i="51"/>
  <c r="H52" i="51" l="1"/>
  <c r="J39" i="51"/>
  <c r="G17" i="51"/>
  <c r="G26" i="51" s="1"/>
  <c r="B49" i="40"/>
  <c r="B23" i="42" s="1"/>
  <c r="B22" i="42" s="1"/>
  <c r="B34" i="42" s="1"/>
  <c r="H29" i="62"/>
  <c r="H31" i="62" s="1"/>
  <c r="C9" i="40"/>
  <c r="J47" i="62"/>
  <c r="J49" i="62" s="1"/>
  <c r="H46" i="51"/>
  <c r="H40" i="51"/>
  <c r="E22" i="62"/>
  <c r="E29" i="62" s="1"/>
  <c r="E31" i="62" s="1"/>
  <c r="B9" i="51"/>
  <c r="B10" i="62" s="1"/>
  <c r="G19" i="62"/>
  <c r="G22" i="62"/>
  <c r="B7" i="42"/>
  <c r="J8" i="51"/>
  <c r="B8" i="51"/>
  <c r="B9" i="62" s="1"/>
  <c r="G10" i="62"/>
  <c r="G18" i="62" s="1"/>
  <c r="G33" i="51"/>
  <c r="G24" i="62" s="1"/>
  <c r="G20" i="62" l="1"/>
  <c r="G51" i="51"/>
  <c r="J9" i="51"/>
  <c r="J10" i="62" s="1"/>
  <c r="C49" i="40"/>
  <c r="J31" i="51"/>
  <c r="J22" i="62" s="1"/>
  <c r="J9" i="62"/>
  <c r="J20" i="51"/>
  <c r="J19" i="51" s="1"/>
  <c r="J56" i="51" s="1"/>
  <c r="J55" i="51" s="1"/>
  <c r="J33" i="51"/>
  <c r="G29" i="62"/>
  <c r="G31" i="62" s="1"/>
  <c r="E19" i="62"/>
  <c r="B14" i="42"/>
  <c r="B7" i="51"/>
  <c r="B17" i="51" s="1"/>
  <c r="G39" i="51"/>
  <c r="G52" i="51" s="1"/>
  <c r="B23" i="62"/>
  <c r="B29" i="62" s="1"/>
  <c r="B31" i="62" s="1"/>
  <c r="B39" i="51"/>
  <c r="B38" i="42"/>
  <c r="E8" i="51"/>
  <c r="E9" i="62" s="1"/>
  <c r="G32" i="62" l="1"/>
  <c r="G90" i="62"/>
  <c r="C23" i="42"/>
  <c r="C22" i="42" s="1"/>
  <c r="C34" i="42" s="1"/>
  <c r="C38" i="42" s="1"/>
  <c r="E23" i="42"/>
  <c r="E22" i="42" s="1"/>
  <c r="J46" i="51"/>
  <c r="G53" i="51"/>
  <c r="J11" i="51"/>
  <c r="H10" i="62"/>
  <c r="H17" i="51"/>
  <c r="J17" i="51" s="1"/>
  <c r="J19" i="62"/>
  <c r="J24" i="62"/>
  <c r="B8" i="62"/>
  <c r="B18" i="62" s="1"/>
  <c r="B20" i="62" s="1"/>
  <c r="B32" i="62" s="1"/>
  <c r="B19" i="42"/>
  <c r="J8" i="62"/>
  <c r="G40" i="51"/>
  <c r="B46" i="51"/>
  <c r="G46" i="51"/>
  <c r="B90" i="62" l="1"/>
  <c r="B91" i="62" s="1"/>
  <c r="H18" i="62"/>
  <c r="H20" i="62" s="1"/>
  <c r="E7" i="42"/>
  <c r="J31" i="62"/>
  <c r="H51" i="51"/>
  <c r="H53" i="51" s="1"/>
  <c r="H61" i="51" s="1"/>
  <c r="H26" i="51"/>
  <c r="J26" i="51" s="1"/>
  <c r="J52" i="51"/>
  <c r="J40" i="51"/>
  <c r="G61" i="51"/>
  <c r="J51" i="51"/>
  <c r="B40" i="42"/>
  <c r="B26" i="51"/>
  <c r="B18" i="51"/>
  <c r="B51" i="51"/>
  <c r="B53" i="51" s="1"/>
  <c r="E7" i="51" l="1"/>
  <c r="H32" i="62"/>
  <c r="H90" i="62"/>
  <c r="B61" i="51"/>
  <c r="G54" i="51"/>
  <c r="J53" i="51"/>
  <c r="C7" i="42"/>
  <c r="C14" i="42" l="1"/>
  <c r="C19" i="42" s="1"/>
  <c r="C40" i="42" s="1"/>
  <c r="C7" i="51"/>
  <c r="C17" i="51" l="1"/>
  <c r="C8" i="62"/>
  <c r="C18" i="62" s="1"/>
  <c r="C20" i="62" s="1"/>
  <c r="C32" i="62" s="1"/>
  <c r="C26" i="51" l="1"/>
  <c r="E26" i="51" s="1"/>
  <c r="E17" i="51"/>
  <c r="C90" i="62"/>
  <c r="C51" i="51"/>
  <c r="C53" i="51" s="1"/>
  <c r="C18" i="51"/>
  <c r="E18" i="51" s="1"/>
  <c r="C61" i="51" l="1"/>
  <c r="H54" i="51"/>
  <c r="E8" i="62"/>
  <c r="E51" i="51" l="1"/>
  <c r="E53" i="51" s="1"/>
  <c r="J54" i="51" s="1"/>
  <c r="K90" i="62"/>
</calcChain>
</file>

<file path=xl/sharedStrings.xml><?xml version="1.0" encoding="utf-8"?>
<sst xmlns="http://schemas.openxmlformats.org/spreadsheetml/2006/main" count="525" uniqueCount="362">
  <si>
    <t xml:space="preserve"> 1.6. Elszámolásból származó bevételek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</si>
  <si>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</si>
  <si>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</si>
  <si>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</si>
  <si>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</si>
  <si>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</si>
  <si>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</si>
  <si>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</si>
  <si>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</si>
  <si>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</si>
  <si>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</si>
  <si>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</si>
  <si>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</si>
  <si>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</si>
  <si>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</si>
  <si>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</si>
  <si>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</si>
  <si>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</si>
  <si>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</si>
  <si>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</si>
  <si>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Cél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</si>
  <si>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</si>
  <si>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</si>
  <si>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</si>
  <si>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</si>
  <si>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</si>
  <si>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</si>
  <si>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</si>
  <si>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</si>
  <si>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</si>
  <si>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</si>
  <si>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</si>
  <si>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</si>
  <si>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</si>
  <si>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 xml:space="preserve"> 1.1. Felhalmozási célú központosított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</si>
  <si>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</si>
  <si>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</si>
  <si>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</si>
  <si>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</si>
  <si>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</si>
  <si>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</si>
  <si>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</si>
  <si>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</si>
  <si>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</si>
  <si>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</si>
  <si>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</si>
  <si>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</si>
  <si>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</si>
  <si>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</si>
  <si>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</si>
  <si>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</si>
  <si>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</si>
  <si>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</si>
  <si>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</si>
  <si>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</si>
  <si>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</si>
  <si>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</si>
  <si>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</si>
  <si>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</si>
  <si>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</si>
  <si>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</si>
  <si>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</si>
  <si>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</si>
  <si>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</si>
  <si>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</si>
  <si>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</si>
  <si>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</si>
  <si>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</si>
  <si>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</si>
  <si>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</si>
  <si>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</si>
  <si>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</si>
  <si>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</si>
  <si>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Összesen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</si>
  <si>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</si>
  <si>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</si>
  <si>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</si>
  <si>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</si>
  <si>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</si>
  <si>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</si>
  <si>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</si>
  <si>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Nyári szociális gyermekétkeztetés</t>
  </si>
  <si>
    <t>Rendkívüli gyermekvédelmi támogatás</t>
  </si>
  <si>
    <t>Temetési segély</t>
  </si>
  <si>
    <t>Köztemetés</t>
  </si>
  <si>
    <t>Forgatási célú értékpapír vásárlás</t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</si>
  <si>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</si>
  <si>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</si>
  <si>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</si>
  <si>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</si>
  <si>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</si>
  <si>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</si>
  <si>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</si>
  <si>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</si>
  <si>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</si>
  <si>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</si>
  <si>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</si>
  <si>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</si>
  <si>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</si>
  <si>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</si>
  <si>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</si>
  <si>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</si>
  <si>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</si>
  <si>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</si>
  <si>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</si>
  <si>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</si>
  <si>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</si>
  <si>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</si>
  <si>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</si>
  <si>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</si>
  <si>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</si>
  <si>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</si>
  <si>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</si>
  <si>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</si>
  <si>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</si>
  <si>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</si>
  <si>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</si>
  <si>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</si>
  <si>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</si>
  <si>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</si>
  <si>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</si>
  <si>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</si>
  <si>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</si>
  <si>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</si>
  <si>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</si>
  <si>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</si>
  <si>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</si>
  <si>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</si>
  <si>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</si>
  <si>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</si>
  <si>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</si>
  <si>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</si>
  <si>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</si>
  <si>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</si>
  <si>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</si>
  <si>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</si>
  <si>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</si>
  <si>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</si>
  <si>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</si>
  <si>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</si>
  <si>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</si>
  <si>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</si>
  <si>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</si>
  <si>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</si>
  <si>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</si>
  <si>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</si>
  <si>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</si>
  <si>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</si>
  <si>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</si>
  <si>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</si>
  <si>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</si>
  <si>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</si>
  <si>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</si>
  <si>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</si>
  <si>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</si>
  <si>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</si>
  <si>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</si>
  <si>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</si>
  <si>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</si>
  <si>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</si>
  <si>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</si>
  <si>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</si>
  <si>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</si>
  <si>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</si>
  <si>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</si>
  <si>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</si>
  <si>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</si>
  <si>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</si>
  <si>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</si>
  <si>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</si>
  <si>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</si>
  <si>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</si>
  <si>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</si>
  <si>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</si>
  <si>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</si>
  <si>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</si>
  <si>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</si>
  <si>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</si>
  <si>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</si>
  <si>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</si>
  <si>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</si>
  <si>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</si>
  <si>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</si>
  <si>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</si>
  <si>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</si>
  <si>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</si>
  <si>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</si>
  <si>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</si>
  <si>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</si>
  <si>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</si>
  <si>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</si>
  <si>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</si>
  <si>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</si>
  <si>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</si>
  <si>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</si>
  <si>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</si>
  <si>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</si>
  <si>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</si>
  <si>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</si>
  <si>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</si>
  <si>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</si>
  <si>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</si>
  <si>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</si>
  <si>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</si>
  <si>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Záró pénzkészlet</t>
  </si>
  <si>
    <t>MEGNEVEZÉS</t>
  </si>
  <si>
    <t xml:space="preserve">      2.3.3. Települési adó</t>
  </si>
  <si>
    <t>Méltányos ápolási díj</t>
  </si>
  <si>
    <t>1. Költségvetési hiány belső finanszírozására szolgáló finanszírozási  bevételek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</si>
  <si>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</si>
  <si>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</si>
  <si>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</si>
  <si>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</si>
  <si>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</si>
  <si>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</si>
  <si>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</si>
  <si>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</si>
  <si>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</si>
  <si>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</si>
  <si>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</si>
  <si>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</si>
  <si>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</si>
  <si>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</si>
  <si>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</si>
  <si>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>Beruházás</t>
  </si>
  <si>
    <t>2. Működési célú támogatások államháztartáson kívülre</t>
  </si>
  <si>
    <t>Önkormányzat költségvetése</t>
  </si>
  <si>
    <t>I. Személyi juttatás</t>
  </si>
  <si>
    <t>II. Munkaadót terhelő járulékok</t>
  </si>
  <si>
    <t>III. Dologi kiadások</t>
  </si>
  <si>
    <t>Ebből</t>
  </si>
  <si>
    <t>1. Működési célú támogatások államháztartáson belülre</t>
  </si>
  <si>
    <t>3. Állami támogatás visszafizetése elszámolás alapján</t>
  </si>
  <si>
    <t>IV. Összesen:</t>
  </si>
  <si>
    <t>V. Ellátottak pénzbeli juttatásai</t>
  </si>
  <si>
    <t>Közlekedési támogatás</t>
  </si>
  <si>
    <t>V. Összesen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</si>
  <si>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</si>
  <si>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</si>
  <si>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</si>
  <si>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</si>
  <si>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</si>
  <si>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</si>
  <si>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</si>
  <si>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</si>
  <si>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</si>
  <si>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</si>
  <si>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</si>
  <si>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</si>
  <si>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</si>
  <si>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</si>
  <si>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</si>
  <si>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</si>
  <si>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</si>
  <si>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</si>
  <si>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Egyéb önkormányzati támogatás (tüzifa támogatás)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</si>
  <si>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</si>
  <si>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</si>
  <si>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</si>
  <si>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</si>
  <si>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</si>
  <si>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</si>
  <si>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</si>
  <si>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</si>
  <si>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</si>
  <si>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</si>
  <si>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</si>
  <si>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</si>
  <si>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Támogatás visszafizetés</t>
  </si>
  <si>
    <t>Egyéb felhalmozási kiadások</t>
  </si>
  <si>
    <t>Finanszírozási kiadások (hitel törlesztés, értékpapír visszavásárlás, állami tám.megelőlegezés visszafizetése)</t>
  </si>
  <si>
    <t>Korrekció (előző évi kifizetés miatt)</t>
  </si>
  <si>
    <t>Születési segély</t>
  </si>
  <si>
    <t>8. Állami támogatás megelőlegezés</t>
  </si>
  <si>
    <t>2.1. Hitel, kölcsön felvétele áh-n kívülről</t>
  </si>
  <si>
    <t>2.1.1. Hosszú lejáratú hitelek, kölcsönök felvétele</t>
  </si>
  <si>
    <t>2.1.2. Likviditási célú hitelek, kölcsönök felvétele pénzügyi vállalkozástól</t>
  </si>
  <si>
    <t>2.1.3. Rövid lejáratú hitelek, kölcsönök felvétele</t>
  </si>
  <si>
    <t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</si>
  <si>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</si>
  <si>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</si>
  <si>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</si>
  <si>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</si>
  <si>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>2.3. Betét bevonás</t>
  </si>
  <si>
    <t>2.4. Államháztartáson belüli megelőlegezések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</si>
  <si>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</si>
  <si>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</si>
  <si>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</si>
  <si>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</si>
  <si>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</si>
  <si>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Gyermekjóléti szolgálat</t>
  </si>
  <si>
    <t>Rendelőintézet (Ügyeleti díj)</t>
  </si>
  <si>
    <t>Működési célú támogatás államháztartáson kívülre</t>
  </si>
  <si>
    <t>Pécselyi Református Egyházközség</t>
  </si>
  <si>
    <t>Pécselyi Ált.Isk. és Óvoda Gyermekeiért Alapítvány</t>
  </si>
  <si>
    <t xml:space="preserve">Pécselyi Sportegyesület </t>
  </si>
  <si>
    <t>Balaton-felvidéki Turisztikai Közhasznú Egyesület</t>
  </si>
  <si>
    <t>Bakonykarszt pályázati támogatás (lakossági víz és szennyv.sz.)</t>
  </si>
  <si>
    <t xml:space="preserve">Tihany Iskoláért alapítvány 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</si>
  <si>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</si>
  <si>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</si>
  <si>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</si>
  <si>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</si>
  <si>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</si>
  <si>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9. Lekötött betét bevonása</t>
  </si>
  <si>
    <t xml:space="preserve"> Az Önkormányzat felhalmozási bevételei és kiadásai  2017. év</t>
  </si>
  <si>
    <t xml:space="preserve">Egyéb önkormányzati támogatás, átmeneti segély </t>
  </si>
  <si>
    <t>Bérelt önkormányzati lakáson felújítás (ablakcsere)</t>
  </si>
  <si>
    <t>Egyéb felhalm.tám. ÁHB (óvoda fenntartás tám.)</t>
  </si>
  <si>
    <t>Kultúrház korlát</t>
  </si>
  <si>
    <t>1.4. Adósságkonszolidációs tám.</t>
  </si>
  <si>
    <t>1.3. Belterületi utak felújítása támogatás</t>
  </si>
  <si>
    <t>3.1. KKETTKK vissza nem térítendő támogatás</t>
  </si>
  <si>
    <t>Balatonfüredi Többcélú Társulás (Jelzőrendszeres házi segítségnyújtás, Házi segítségnyújtás, belső ellenőrzés)</t>
  </si>
  <si>
    <t xml:space="preserve">    1.1. Előző év költségvetési maradványának  igénybevétele működési célra</t>
  </si>
  <si>
    <t>1.1. Helyi önk. működésének ált. támogatása</t>
  </si>
  <si>
    <t xml:space="preserve">   ebből működési célú támogatás társadalombiztosítási alapból</t>
  </si>
  <si>
    <t>AZ ÖNKORMÁNYZAT FŐÖSSZESÍTŐJE</t>
  </si>
  <si>
    <t>Az önkormányzat 2017. évi költségvetéséről szóló 1/2017. (II.15.) önkormányzati rendelet helyébe a következő 1. melléklet lép</t>
  </si>
  <si>
    <t>BEVÉTELEK ELŐIRÁNYZATA</t>
  </si>
  <si>
    <t>Az önkormányzat működési bevételei és kiadásai</t>
  </si>
  <si>
    <t>Immateriális javak beszerzése</t>
  </si>
  <si>
    <t>Egyéb tárgyi eszköz beszerzése</t>
  </si>
  <si>
    <t>Kisértékű eszközök beszerzése</t>
  </si>
  <si>
    <t>III. Felhalmozási kiadások összesen:</t>
  </si>
  <si>
    <t>IV. Egyéb működési célú kiadások  (4)</t>
  </si>
  <si>
    <t>Ravatalozó felújítása, parkoló térkövezése</t>
  </si>
  <si>
    <t>BURSA ösztöndíj</t>
  </si>
  <si>
    <t xml:space="preserve">  ebből: diák munkabér támogatás</t>
  </si>
  <si>
    <t>Közös Hivatal (rendszeres gyermekvédelmi)</t>
  </si>
  <si>
    <t>MŰKÖDÉSI KIADÁSOK 2018. ÉV</t>
  </si>
  <si>
    <t xml:space="preserve">Napelemes kandelláber </t>
  </si>
  <si>
    <t>Hulladékgyűjtők 4 db</t>
  </si>
  <si>
    <t>FELHALMOZÁSI KIADÁSOK 2018. ÉV</t>
  </si>
  <si>
    <t>Mozgáskorlátozott feljáró (orvosi rendelő)</t>
  </si>
  <si>
    <t>Hivatal egyéb tárgyi eszközök</t>
  </si>
  <si>
    <t>Belterületi utak felújítása pályázat BMÖFT/107-20/2017.</t>
  </si>
  <si>
    <t>Belterületi utak felújítása pályázati önerő</t>
  </si>
  <si>
    <t>Előző évi közfoglalkoztatási támogatás visszafizetése</t>
  </si>
  <si>
    <t xml:space="preserve">      1.3. Magánszemélyek kommunális adója</t>
  </si>
  <si>
    <t>3. Egyéb közhatalmi bevételek  (bírság, pótlék)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</si>
  <si>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2018.  </t>
    </r>
  </si>
  <si>
    <t xml:space="preserve"> Az Önkormányzat  kötelező feladatok bevételei és kiadásai  2018. év</t>
  </si>
  <si>
    <t xml:space="preserve"> Az Önkormányzat önként vállalt feladatok bevételei és kiadásai  2018. év</t>
  </si>
  <si>
    <t xml:space="preserve"> Az Önkormányzat állami (államigazgatási) feladatok bevételei és kiadásai  2018. év</t>
  </si>
  <si>
    <t>2018. évi eredeti előirányzat</t>
  </si>
  <si>
    <t>I. Módosítás</t>
  </si>
  <si>
    <t xml:space="preserve"> 1.7. Gyermekétkeztetés</t>
  </si>
  <si>
    <t>Ravatalozó ajtó, ablak csere (32/2018. (IV. 12.) hat.)</t>
  </si>
  <si>
    <t xml:space="preserve"> 1.5. Helyi önk. Működési célú költségvetési támogatásai és kiegészítő támogatásai BMÖGF/63-12/2018.</t>
  </si>
  <si>
    <t xml:space="preserve">  3. Egyéb tárgyi eszközök értékesítése (30/2018. (IV. 12.) hat.)</t>
  </si>
  <si>
    <t>Balatonfüredi Eötvös Loránd Általános Iskola Tanulóiért Alapítvány (35/2018. (IV. 12.) hat.)</t>
  </si>
  <si>
    <t>Fodrászat bejárati ajtó csere</t>
  </si>
  <si>
    <t xml:space="preserve">  2. Ingatlanok értékesítése (3/2018. (I. 29.) hat.)</t>
  </si>
  <si>
    <t>Fodrászat ablak csere</t>
  </si>
  <si>
    <t>Település fejlesztési koncepció</t>
  </si>
  <si>
    <t>Bevétele és kiadások mérlege 2018. év</t>
  </si>
  <si>
    <t>2. Munkaadót terhelő járulékok és szoc.hj. adó</t>
  </si>
  <si>
    <t>%</t>
  </si>
  <si>
    <t>Teljesítés 2018.06.30.</t>
  </si>
  <si>
    <t>9. Egyéb működési bevételek (biztosító által fizetett kártérítés, kötbér, stb.)</t>
  </si>
  <si>
    <t>Szeptember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</si>
</sst>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mmm\ d/"/>
    <numFmt numFmtId="165" formatCode="_-* #,##0\ _F_t_-;\-* #,##0\ _F_t_-;_-* &quot;-&quot;??\ _F_t_-;_-@_-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ill="0" applyBorder="0" applyAlignment="0" applyProtection="0"/>
    <xf numFmtId="43" fontId="22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0" fillId="0" borderId="6" applyNumberFormat="0" applyFill="0" applyAlignment="0" applyProtection="0"/>
    <xf numFmtId="0" fontId="16" fillId="28" borderId="0" applyNumberFormat="0" applyBorder="0" applyAlignment="0" applyProtection="0"/>
    <xf numFmtId="0" fontId="20" fillId="0" borderId="0"/>
    <xf numFmtId="0" fontId="23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18">
    <xf numFmtId="0" fontId="0" fillId="0" borderId="0" xfId="0"/>
    <xf numFmtId="0" fontId="21" fillId="0" borderId="0" xfId="81" applyFont="1" applyFill="1" applyBorder="1" applyAlignment="1">
      <alignment horizontal="left" vertical="center" wrapText="1"/>
    </xf>
    <xf numFmtId="0" fontId="24" fillId="0" borderId="0" xfId="81" applyFont="1" applyAlignment="1">
      <alignment horizontal="center" wrapText="1"/>
    </xf>
    <xf numFmtId="0" fontId="21" fillId="0" borderId="0" xfId="81" applyFont="1"/>
    <xf numFmtId="0" fontId="24" fillId="0" borderId="14" xfId="81" applyFont="1" applyBorder="1" applyAlignment="1">
      <alignment horizontal="center" vertical="center" wrapText="1"/>
    </xf>
    <xf numFmtId="0" fontId="21" fillId="0" borderId="14" xfId="81" applyFont="1" applyBorder="1"/>
    <xf numFmtId="3" fontId="21" fillId="0" borderId="14" xfId="81" applyNumberFormat="1" applyFont="1" applyBorder="1"/>
    <xf numFmtId="3" fontId="24" fillId="29" borderId="14" xfId="81" applyNumberFormat="1" applyFont="1" applyFill="1" applyBorder="1" applyAlignment="1">
      <alignment horizontal="right" wrapText="1"/>
    </xf>
    <xf numFmtId="0" fontId="21" fillId="0" borderId="0" xfId="71" applyFont="1"/>
    <xf numFmtId="3" fontId="21" fillId="30" borderId="14" xfId="80" applyNumberFormat="1" applyFont="1" applyFill="1" applyBorder="1" applyAlignment="1">
      <alignment horizontal="right" vertical="center" wrapText="1"/>
    </xf>
    <xf numFmtId="0" fontId="24" fillId="0" borderId="0" xfId="71" applyFont="1"/>
    <xf numFmtId="3" fontId="21" fillId="0" borderId="14" xfId="69" applyNumberFormat="1" applyFont="1" applyFill="1" applyBorder="1" applyAlignment="1">
      <alignment horizontal="right"/>
    </xf>
    <xf numFmtId="3" fontId="21" fillId="0" borderId="14" xfId="69" applyNumberFormat="1" applyFont="1" applyFill="1" applyBorder="1" applyAlignment="1"/>
    <xf numFmtId="3" fontId="24" fillId="0" borderId="0" xfId="71" applyNumberFormat="1" applyFont="1" applyBorder="1"/>
    <xf numFmtId="0" fontId="21" fillId="0" borderId="0" xfId="71" applyFont="1" applyBorder="1"/>
    <xf numFmtId="0" fontId="24" fillId="0" borderId="0" xfId="71" applyFont="1" applyBorder="1"/>
    <xf numFmtId="0" fontId="24" fillId="0" borderId="0" xfId="81" applyFont="1" applyBorder="1" applyAlignment="1">
      <alignment horizontal="center" vertical="center" wrapText="1"/>
    </xf>
    <xf numFmtId="3" fontId="24" fillId="0" borderId="0" xfId="75" applyNumberFormat="1" applyFont="1" applyBorder="1"/>
    <xf numFmtId="3" fontId="21" fillId="0" borderId="0" xfId="71" applyNumberFormat="1" applyFont="1"/>
    <xf numFmtId="0" fontId="24" fillId="0" borderId="0" xfId="78" applyFont="1" applyFill="1" applyAlignment="1">
      <alignment horizontal="center" vertical="center" wrapText="1"/>
    </xf>
    <xf numFmtId="3" fontId="24" fillId="0" borderId="14" xfId="80" applyNumberFormat="1" applyFont="1" applyFill="1" applyBorder="1" applyAlignment="1">
      <alignment horizontal="right" vertical="center" wrapText="1"/>
    </xf>
    <xf numFmtId="3" fontId="21" fillId="0" borderId="0" xfId="81" applyNumberFormat="1" applyFont="1" applyFill="1" applyBorder="1" applyAlignment="1">
      <alignment horizontal="right" vertical="center" wrapText="1"/>
    </xf>
    <xf numFmtId="3" fontId="21" fillId="0" borderId="0" xfId="72" applyNumberFormat="1" applyFont="1" applyFill="1" applyBorder="1"/>
    <xf numFmtId="0" fontId="24" fillId="0" borderId="0" xfId="81" applyFont="1" applyFill="1" applyBorder="1" applyAlignment="1">
      <alignment horizontal="center" vertical="center" wrapText="1"/>
    </xf>
    <xf numFmtId="165" fontId="24" fillId="0" borderId="0" xfId="53" applyNumberFormat="1" applyFont="1" applyFill="1" applyAlignment="1">
      <alignment horizontal="center" vertical="center" wrapText="1"/>
    </xf>
    <xf numFmtId="0" fontId="24" fillId="0" borderId="0" xfId="78" applyFont="1" applyFill="1" applyBorder="1" applyAlignment="1">
      <alignment wrapText="1"/>
    </xf>
    <xf numFmtId="3" fontId="24" fillId="0" borderId="0" xfId="78" applyNumberFormat="1" applyFont="1" applyFill="1" applyBorder="1"/>
    <xf numFmtId="0" fontId="21" fillId="0" borderId="0" xfId="78" applyFont="1" applyFill="1" applyAlignment="1">
      <alignment wrapText="1"/>
    </xf>
    <xf numFmtId="0" fontId="21" fillId="0" borderId="0" xfId="78" applyFont="1" applyFill="1"/>
    <xf numFmtId="165" fontId="21" fillId="0" borderId="0" xfId="53" applyNumberFormat="1" applyFont="1" applyFill="1"/>
    <xf numFmtId="3" fontId="21" fillId="0" borderId="14" xfId="0" applyNumberFormat="1" applyFont="1" applyFill="1" applyBorder="1"/>
    <xf numFmtId="0" fontId="21" fillId="0" borderId="18" xfId="0" applyFont="1" applyFill="1" applyBorder="1" applyAlignment="1">
      <alignment wrapText="1"/>
    </xf>
    <xf numFmtId="3" fontId="24" fillId="0" borderId="14" xfId="80" applyNumberFormat="1" applyFont="1" applyFill="1" applyBorder="1" applyAlignment="1">
      <alignment vertical="center" wrapText="1"/>
    </xf>
    <xf numFmtId="3" fontId="21" fillId="0" borderId="0" xfId="78" applyNumberFormat="1" applyFont="1" applyFill="1"/>
    <xf numFmtId="0" fontId="21" fillId="0" borderId="0" xfId="78" applyFont="1" applyFill="1" applyBorder="1" applyAlignment="1">
      <alignment wrapText="1"/>
    </xf>
    <xf numFmtId="0" fontId="21" fillId="0" borderId="0" xfId="78" applyFont="1" applyBorder="1" applyAlignment="1">
      <alignment wrapText="1"/>
    </xf>
    <xf numFmtId="0" fontId="21" fillId="0" borderId="0" xfId="72" applyFont="1" applyFill="1" applyBorder="1" applyAlignment="1">
      <alignment wrapText="1"/>
    </xf>
    <xf numFmtId="0" fontId="21" fillId="0" borderId="0" xfId="72" applyFont="1" applyFill="1" applyBorder="1" applyAlignment="1">
      <alignment horizontal="left" vertical="center" wrapText="1"/>
    </xf>
    <xf numFmtId="165" fontId="24" fillId="0" borderId="0" xfId="53" applyNumberFormat="1" applyFont="1" applyFill="1"/>
    <xf numFmtId="0" fontId="24" fillId="0" borderId="0" xfId="78" applyFont="1" applyFill="1"/>
    <xf numFmtId="0" fontId="21" fillId="0" borderId="27" xfId="78" applyFont="1" applyFill="1" applyBorder="1" applyAlignment="1">
      <alignment wrapText="1"/>
    </xf>
    <xf numFmtId="0" fontId="21" fillId="0" borderId="0" xfId="72" applyFont="1"/>
    <xf numFmtId="3" fontId="21" fillId="0" borderId="14" xfId="72" applyNumberFormat="1" applyFont="1" applyBorder="1"/>
    <xf numFmtId="3" fontId="24" fillId="0" borderId="14" xfId="72" applyNumberFormat="1" applyFont="1" applyBorder="1"/>
    <xf numFmtId="3" fontId="21" fillId="0" borderId="0" xfId="72" applyNumberFormat="1" applyFont="1"/>
    <xf numFmtId="3" fontId="21" fillId="30" borderId="14" xfId="72" applyNumberFormat="1" applyFont="1" applyFill="1" applyBorder="1"/>
    <xf numFmtId="3" fontId="21" fillId="0" borderId="14" xfId="72" applyNumberFormat="1" applyFont="1" applyFill="1" applyBorder="1"/>
    <xf numFmtId="0" fontId="21" fillId="0" borderId="0" xfId="72" applyFont="1" applyFill="1"/>
    <xf numFmtId="3" fontId="24" fillId="0" borderId="14" xfId="0" applyNumberFormat="1" applyFont="1" applyFill="1" applyBorder="1" applyAlignment="1">
      <alignment horizontal="right"/>
    </xf>
    <xf numFmtId="0" fontId="21" fillId="0" borderId="0" xfId="0" applyFont="1" applyFill="1"/>
    <xf numFmtId="0" fontId="24" fillId="0" borderId="26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165" fontId="21" fillId="0" borderId="0" xfId="53" applyNumberFormat="1" applyFont="1" applyBorder="1"/>
    <xf numFmtId="0" fontId="21" fillId="0" borderId="0" xfId="81" applyFont="1" applyBorder="1"/>
    <xf numFmtId="3" fontId="21" fillId="0" borderId="0" xfId="81" applyNumberFormat="1" applyFont="1" applyBorder="1"/>
    <xf numFmtId="0" fontId="21" fillId="29" borderId="0" xfId="81" applyFont="1" applyFill="1" applyBorder="1"/>
    <xf numFmtId="0" fontId="24" fillId="29" borderId="0" xfId="81" applyFont="1" applyFill="1" applyBorder="1"/>
    <xf numFmtId="165" fontId="25" fillId="29" borderId="0" xfId="81" applyNumberFormat="1" applyFont="1" applyFill="1" applyBorder="1"/>
    <xf numFmtId="0" fontId="25" fillId="29" borderId="0" xfId="81" applyFont="1" applyFill="1" applyBorder="1"/>
    <xf numFmtId="0" fontId="25" fillId="0" borderId="0" xfId="81" applyFont="1" applyFill="1" applyBorder="1"/>
    <xf numFmtId="0" fontId="26" fillId="29" borderId="0" xfId="81" applyFont="1" applyFill="1" applyBorder="1"/>
    <xf numFmtId="0" fontId="24" fillId="29" borderId="0" xfId="81" applyFont="1" applyFill="1" applyBorder="1" applyAlignment="1">
      <alignment vertical="center"/>
    </xf>
    <xf numFmtId="0" fontId="21" fillId="29" borderId="0" xfId="81" applyFont="1" applyFill="1" applyBorder="1" applyAlignment="1">
      <alignment vertical="center" wrapText="1"/>
    </xf>
    <xf numFmtId="165" fontId="21" fillId="29" borderId="14" xfId="53" applyNumberFormat="1" applyFont="1" applyFill="1" applyBorder="1" applyAlignment="1">
      <alignment vertical="center"/>
    </xf>
    <xf numFmtId="0" fontId="21" fillId="29" borderId="0" xfId="81" applyFont="1" applyFill="1" applyBorder="1" applyAlignment="1">
      <alignment vertical="center"/>
    </xf>
    <xf numFmtId="3" fontId="24" fillId="29" borderId="0" xfId="81" applyNumberFormat="1" applyFont="1" applyFill="1" applyBorder="1" applyAlignment="1">
      <alignment vertical="center"/>
    </xf>
    <xf numFmtId="165" fontId="21" fillId="29" borderId="0" xfId="81" applyNumberFormat="1" applyFont="1" applyFill="1" applyBorder="1" applyAlignment="1">
      <alignment vertical="center"/>
    </xf>
    <xf numFmtId="165" fontId="24" fillId="29" borderId="0" xfId="81" applyNumberFormat="1" applyFont="1" applyFill="1" applyBorder="1" applyAlignment="1">
      <alignment vertical="center"/>
    </xf>
    <xf numFmtId="3" fontId="21" fillId="29" borderId="14" xfId="81" applyNumberFormat="1" applyFont="1" applyFill="1" applyBorder="1" applyAlignment="1">
      <alignment horizontal="right" wrapText="1"/>
    </xf>
    <xf numFmtId="0" fontId="21" fillId="0" borderId="23" xfId="81" applyFont="1" applyBorder="1"/>
    <xf numFmtId="3" fontId="21" fillId="29" borderId="23" xfId="81" applyNumberFormat="1" applyFont="1" applyFill="1" applyBorder="1" applyAlignment="1">
      <alignment horizontal="right" wrapText="1"/>
    </xf>
    <xf numFmtId="3" fontId="21" fillId="29" borderId="14" xfId="81" applyNumberFormat="1" applyFont="1" applyFill="1" applyBorder="1" applyAlignment="1">
      <alignment horizontal="right" vertical="center" wrapText="1"/>
    </xf>
    <xf numFmtId="0" fontId="24" fillId="0" borderId="0" xfId="81" applyFont="1" applyFill="1" applyBorder="1"/>
    <xf numFmtId="165" fontId="21" fillId="0" borderId="0" xfId="53" applyNumberFormat="1" applyFont="1"/>
    <xf numFmtId="0" fontId="21" fillId="0" borderId="0" xfId="81" applyFont="1" applyAlignment="1">
      <alignment horizontal="center" vertical="center"/>
    </xf>
    <xf numFmtId="0" fontId="24" fillId="0" borderId="0" xfId="81" applyFont="1"/>
    <xf numFmtId="0" fontId="24" fillId="0" borderId="0" xfId="81" applyFont="1" applyBorder="1"/>
    <xf numFmtId="0" fontId="24" fillId="29" borderId="0" xfId="81" applyFont="1" applyFill="1"/>
    <xf numFmtId="165" fontId="24" fillId="0" borderId="0" xfId="53" applyNumberFormat="1" applyFont="1"/>
    <xf numFmtId="165" fontId="24" fillId="0" borderId="0" xfId="81" applyNumberFormat="1" applyFont="1"/>
    <xf numFmtId="0" fontId="21" fillId="0" borderId="0" xfId="81" applyFont="1" applyAlignment="1">
      <alignment wrapText="1"/>
    </xf>
    <xf numFmtId="0" fontId="21" fillId="0" borderId="22" xfId="81" applyFont="1" applyBorder="1" applyAlignment="1">
      <alignment horizontal="left" vertical="center" wrapText="1"/>
    </xf>
    <xf numFmtId="3" fontId="21" fillId="0" borderId="0" xfId="81" applyNumberFormat="1" applyFont="1"/>
    <xf numFmtId="3" fontId="21" fillId="0" borderId="25" xfId="0" applyNumberFormat="1" applyFont="1" applyFill="1" applyBorder="1"/>
    <xf numFmtId="0" fontId="21" fillId="0" borderId="0" xfId="72" applyFont="1" applyFill="1" applyBorder="1"/>
    <xf numFmtId="0" fontId="24" fillId="0" borderId="0" xfId="72" applyFont="1" applyBorder="1" applyAlignment="1">
      <alignment horizontal="center"/>
    </xf>
    <xf numFmtId="0" fontId="21" fillId="0" borderId="0" xfId="72" applyFont="1" applyAlignment="1">
      <alignment wrapText="1"/>
    </xf>
    <xf numFmtId="0" fontId="21" fillId="0" borderId="0" xfId="72" applyFont="1" applyAlignment="1">
      <alignment horizontal="right" wrapText="1"/>
    </xf>
    <xf numFmtId="0" fontId="21" fillId="0" borderId="0" xfId="72" applyFont="1" applyAlignment="1">
      <alignment horizontal="right"/>
    </xf>
    <xf numFmtId="0" fontId="21" fillId="29" borderId="14" xfId="81" applyFont="1" applyFill="1" applyBorder="1" applyAlignment="1">
      <alignment wrapText="1"/>
    </xf>
    <xf numFmtId="0" fontId="21" fillId="0" borderId="14" xfId="72" applyFont="1" applyBorder="1" applyAlignment="1">
      <alignment wrapText="1"/>
    </xf>
    <xf numFmtId="3" fontId="21" fillId="0" borderId="14" xfId="72" applyNumberFormat="1" applyFont="1" applyBorder="1" applyAlignment="1">
      <alignment wrapText="1"/>
    </xf>
    <xf numFmtId="0" fontId="21" fillId="0" borderId="14" xfId="72" applyFont="1" applyBorder="1"/>
    <xf numFmtId="0" fontId="21" fillId="29" borderId="14" xfId="80" applyFont="1" applyFill="1" applyBorder="1" applyAlignment="1">
      <alignment wrapText="1"/>
    </xf>
    <xf numFmtId="164" fontId="21" fillId="0" borderId="14" xfId="72" applyNumberFormat="1" applyFont="1" applyBorder="1" applyAlignment="1">
      <alignment wrapText="1"/>
    </xf>
    <xf numFmtId="0" fontId="24" fillId="0" borderId="14" xfId="72" applyFont="1" applyBorder="1" applyAlignment="1">
      <alignment wrapText="1"/>
    </xf>
    <xf numFmtId="0" fontId="24" fillId="0" borderId="14" xfId="72" applyFont="1" applyBorder="1"/>
    <xf numFmtId="165" fontId="24" fillId="0" borderId="14" xfId="53" applyNumberFormat="1" applyFont="1" applyBorder="1"/>
    <xf numFmtId="0" fontId="24" fillId="0" borderId="0" xfId="72" applyFont="1"/>
    <xf numFmtId="165" fontId="24" fillId="0" borderId="14" xfId="53" applyNumberFormat="1" applyFont="1" applyBorder="1" applyAlignment="1">
      <alignment horizontal="right"/>
    </xf>
    <xf numFmtId="165" fontId="21" fillId="0" borderId="14" xfId="53" applyNumberFormat="1" applyFont="1" applyBorder="1"/>
    <xf numFmtId="0" fontId="24" fillId="0" borderId="0" xfId="72" applyFont="1" applyBorder="1"/>
    <xf numFmtId="0" fontId="24" fillId="0" borderId="0" xfId="72" applyFont="1" applyBorder="1" applyAlignment="1">
      <alignment wrapText="1"/>
    </xf>
    <xf numFmtId="0" fontId="21" fillId="0" borderId="12" xfId="72" applyFont="1" applyBorder="1" applyAlignment="1">
      <alignment wrapText="1"/>
    </xf>
    <xf numFmtId="0" fontId="21" fillId="0" borderId="0" xfId="74" applyFont="1" applyAlignment="1">
      <alignment wrapText="1"/>
    </xf>
    <xf numFmtId="0" fontId="21" fillId="0" borderId="0" xfId="74" applyFont="1"/>
    <xf numFmtId="0" fontId="21" fillId="0" borderId="0" xfId="74" applyFont="1" applyAlignment="1">
      <alignment horizontal="right"/>
    </xf>
    <xf numFmtId="0" fontId="24" fillId="0" borderId="13" xfId="74" applyFont="1" applyBorder="1" applyAlignment="1">
      <alignment wrapText="1"/>
    </xf>
    <xf numFmtId="0" fontId="24" fillId="0" borderId="27" xfId="74" applyFont="1" applyBorder="1" applyAlignment="1">
      <alignment wrapText="1"/>
    </xf>
    <xf numFmtId="0" fontId="21" fillId="0" borderId="13" xfId="74" applyFont="1" applyBorder="1" applyAlignment="1">
      <alignment wrapText="1"/>
    </xf>
    <xf numFmtId="0" fontId="21" fillId="0" borderId="0" xfId="74" applyFont="1" applyBorder="1" applyAlignment="1">
      <alignment wrapText="1"/>
    </xf>
    <xf numFmtId="0" fontId="21" fillId="0" borderId="13" xfId="81" applyFont="1" applyBorder="1" applyAlignment="1">
      <alignment horizontal="left" wrapText="1"/>
    </xf>
    <xf numFmtId="0" fontId="21" fillId="0" borderId="33" xfId="73" applyFont="1" applyBorder="1" applyAlignment="1">
      <alignment wrapText="1"/>
    </xf>
    <xf numFmtId="0" fontId="21" fillId="0" borderId="13" xfId="73" applyFont="1" applyBorder="1" applyAlignment="1">
      <alignment wrapText="1"/>
    </xf>
    <xf numFmtId="0" fontId="21" fillId="0" borderId="34" xfId="73" applyFont="1" applyBorder="1" applyAlignment="1">
      <alignment wrapText="1"/>
    </xf>
    <xf numFmtId="0" fontId="21" fillId="0" borderId="30" xfId="73" applyFont="1" applyBorder="1" applyAlignment="1">
      <alignment wrapText="1"/>
    </xf>
    <xf numFmtId="3" fontId="21" fillId="0" borderId="13" xfId="74" applyNumberFormat="1" applyFont="1" applyBorder="1"/>
    <xf numFmtId="0" fontId="21" fillId="29" borderId="13" xfId="81" applyFont="1" applyFill="1" applyBorder="1" applyAlignment="1">
      <alignment wrapText="1"/>
    </xf>
    <xf numFmtId="3" fontId="21" fillId="0" borderId="33" xfId="74" applyNumberFormat="1" applyFont="1" applyBorder="1"/>
    <xf numFmtId="3" fontId="24" fillId="0" borderId="13" xfId="74" applyNumberFormat="1" applyFont="1" applyBorder="1"/>
    <xf numFmtId="0" fontId="24" fillId="0" borderId="0" xfId="74" applyFont="1"/>
    <xf numFmtId="0" fontId="24" fillId="0" borderId="30" xfId="74" applyFont="1" applyBorder="1" applyAlignment="1">
      <alignment wrapText="1"/>
    </xf>
    <xf numFmtId="0" fontId="24" fillId="0" borderId="0" xfId="74" applyFont="1" applyBorder="1"/>
    <xf numFmtId="0" fontId="24" fillId="0" borderId="33" xfId="74" applyFont="1" applyBorder="1"/>
    <xf numFmtId="0" fontId="21" fillId="0" borderId="0" xfId="74" applyFont="1" applyBorder="1"/>
    <xf numFmtId="3" fontId="21" fillId="0" borderId="0" xfId="74" applyNumberFormat="1" applyFont="1" applyBorder="1"/>
    <xf numFmtId="0" fontId="21" fillId="0" borderId="30" xfId="74" applyFont="1" applyBorder="1" applyAlignment="1">
      <alignment wrapText="1"/>
    </xf>
    <xf numFmtId="0" fontId="24" fillId="0" borderId="33" xfId="74" applyFont="1" applyBorder="1" applyAlignment="1">
      <alignment wrapText="1"/>
    </xf>
    <xf numFmtId="3" fontId="21" fillId="0" borderId="0" xfId="74" applyNumberFormat="1" applyFont="1"/>
    <xf numFmtId="0" fontId="24" fillId="0" borderId="0" xfId="74" applyFont="1" applyBorder="1" applyAlignment="1">
      <alignment wrapText="1"/>
    </xf>
    <xf numFmtId="3" fontId="24" fillId="0" borderId="0" xfId="74" applyNumberFormat="1" applyFont="1" applyBorder="1"/>
    <xf numFmtId="0" fontId="24" fillId="0" borderId="10" xfId="74" applyFont="1" applyBorder="1" applyAlignment="1">
      <alignment wrapText="1"/>
    </xf>
    <xf numFmtId="0" fontId="24" fillId="0" borderId="14" xfId="74" applyFont="1" applyBorder="1" applyAlignment="1">
      <alignment wrapText="1"/>
    </xf>
    <xf numFmtId="3" fontId="24" fillId="0" borderId="14" xfId="74" applyNumberFormat="1" applyFont="1" applyBorder="1"/>
    <xf numFmtId="0" fontId="21" fillId="0" borderId="15" xfId="73" applyFont="1" applyBorder="1" applyAlignment="1">
      <alignment wrapText="1"/>
    </xf>
    <xf numFmtId="3" fontId="21" fillId="0" borderId="15" xfId="74" applyNumberFormat="1" applyFont="1" applyBorder="1"/>
    <xf numFmtId="0" fontId="21" fillId="0" borderId="29" xfId="73" applyFont="1" applyBorder="1" applyAlignment="1">
      <alignment wrapText="1"/>
    </xf>
    <xf numFmtId="3" fontId="21" fillId="0" borderId="30" xfId="74" applyNumberFormat="1" applyFont="1" applyBorder="1"/>
    <xf numFmtId="0" fontId="21" fillId="0" borderId="14" xfId="73" applyFont="1" applyBorder="1" applyAlignment="1">
      <alignment wrapText="1"/>
    </xf>
    <xf numFmtId="3" fontId="21" fillId="0" borderId="14" xfId="74" applyNumberFormat="1" applyFont="1" applyBorder="1"/>
    <xf numFmtId="0" fontId="21" fillId="0" borderId="14" xfId="74" applyFont="1" applyBorder="1" applyAlignment="1">
      <alignment wrapText="1"/>
    </xf>
    <xf numFmtId="0" fontId="21" fillId="0" borderId="14" xfId="73" applyFont="1" applyFill="1" applyBorder="1" applyAlignment="1">
      <alignment wrapText="1"/>
    </xf>
    <xf numFmtId="3" fontId="21" fillId="0" borderId="14" xfId="74" applyNumberFormat="1" applyFont="1" applyBorder="1" applyAlignment="1">
      <alignment wrapText="1"/>
    </xf>
    <xf numFmtId="0" fontId="21" fillId="0" borderId="14" xfId="81" applyFont="1" applyBorder="1" applyAlignment="1">
      <alignment horizontal="left" wrapText="1"/>
    </xf>
    <xf numFmtId="3" fontId="21" fillId="29" borderId="14" xfId="82" applyNumberFormat="1" applyFont="1" applyFill="1" applyBorder="1" applyAlignment="1">
      <alignment horizontal="right" wrapText="1"/>
    </xf>
    <xf numFmtId="0" fontId="24" fillId="29" borderId="27" xfId="82" applyFont="1" applyFill="1" applyBorder="1" applyAlignment="1">
      <alignment horizontal="center" vertical="center" wrapText="1"/>
    </xf>
    <xf numFmtId="0" fontId="24" fillId="29" borderId="0" xfId="82" applyFont="1" applyFill="1" applyBorder="1" applyAlignment="1">
      <alignment horizontal="center" vertical="center" wrapText="1"/>
    </xf>
    <xf numFmtId="0" fontId="21" fillId="0" borderId="27" xfId="74" applyFont="1" applyBorder="1"/>
    <xf numFmtId="0" fontId="21" fillId="0" borderId="27" xfId="74" applyFont="1" applyBorder="1" applyAlignment="1">
      <alignment wrapText="1"/>
    </xf>
    <xf numFmtId="0" fontId="24" fillId="0" borderId="11" xfId="74" applyFont="1" applyBorder="1" applyAlignment="1">
      <alignment wrapText="1"/>
    </xf>
    <xf numFmtId="0" fontId="21" fillId="0" borderId="13" xfId="72" applyFont="1" applyBorder="1" applyAlignment="1">
      <alignment wrapText="1"/>
    </xf>
    <xf numFmtId="3" fontId="21" fillId="0" borderId="27" xfId="74" applyNumberFormat="1" applyFont="1" applyBorder="1"/>
    <xf numFmtId="3" fontId="24" fillId="0" borderId="14" xfId="74" applyNumberFormat="1" applyFont="1" applyBorder="1" applyAlignment="1">
      <alignment wrapText="1"/>
    </xf>
    <xf numFmtId="0" fontId="21" fillId="0" borderId="0" xfId="0" applyFont="1" applyFill="1" applyAlignment="1">
      <alignment wrapText="1"/>
    </xf>
    <xf numFmtId="0" fontId="28" fillId="0" borderId="0" xfId="0" applyFont="1"/>
    <xf numFmtId="0" fontId="21" fillId="0" borderId="0" xfId="0" applyFont="1" applyFill="1" applyAlignment="1">
      <alignment horizontal="left" wrapText="1"/>
    </xf>
    <xf numFmtId="0" fontId="21" fillId="0" borderId="35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3" fontId="24" fillId="0" borderId="19" xfId="0" applyNumberFormat="1" applyFont="1" applyFill="1" applyBorder="1" applyAlignment="1">
      <alignment horizontal="left" wrapText="1"/>
    </xf>
    <xf numFmtId="3" fontId="24" fillId="0" borderId="20" xfId="0" applyNumberFormat="1" applyFont="1" applyFill="1" applyBorder="1" applyAlignment="1">
      <alignment horizontal="right" wrapText="1"/>
    </xf>
    <xf numFmtId="3" fontId="28" fillId="0" borderId="0" xfId="0" applyNumberFormat="1" applyFont="1"/>
    <xf numFmtId="3" fontId="21" fillId="0" borderId="17" xfId="0" applyNumberFormat="1" applyFont="1" applyFill="1" applyBorder="1" applyAlignment="1">
      <alignment horizontal="left" wrapText="1"/>
    </xf>
    <xf numFmtId="3" fontId="24" fillId="0" borderId="21" xfId="0" applyNumberFormat="1" applyFont="1" applyFill="1" applyBorder="1" applyAlignment="1">
      <alignment horizontal="right" wrapText="1"/>
    </xf>
    <xf numFmtId="3" fontId="24" fillId="0" borderId="37" xfId="0" applyNumberFormat="1" applyFont="1" applyFill="1" applyBorder="1" applyAlignment="1">
      <alignment horizontal="right" wrapText="1"/>
    </xf>
    <xf numFmtId="0" fontId="21" fillId="0" borderId="22" xfId="0" applyFont="1" applyFill="1" applyBorder="1" applyAlignment="1">
      <alignment wrapText="1"/>
    </xf>
    <xf numFmtId="3" fontId="21" fillId="0" borderId="23" xfId="0" applyNumberFormat="1" applyFont="1" applyFill="1" applyBorder="1"/>
    <xf numFmtId="3" fontId="24" fillId="0" borderId="14" xfId="0" applyNumberFormat="1" applyFont="1" applyFill="1" applyBorder="1" applyAlignment="1">
      <alignment horizontal="right" wrapText="1"/>
    </xf>
    <xf numFmtId="3" fontId="21" fillId="0" borderId="31" xfId="0" applyNumberFormat="1" applyFont="1" applyFill="1" applyBorder="1"/>
    <xf numFmtId="0" fontId="25" fillId="0" borderId="18" xfId="0" applyFont="1" applyFill="1" applyBorder="1" applyAlignment="1">
      <alignment wrapText="1"/>
    </xf>
    <xf numFmtId="3" fontId="25" fillId="0" borderId="14" xfId="0" applyNumberFormat="1" applyFont="1" applyFill="1" applyBorder="1"/>
    <xf numFmtId="3" fontId="24" fillId="0" borderId="14" xfId="0" applyNumberFormat="1" applyFont="1" applyFill="1" applyBorder="1"/>
    <xf numFmtId="3" fontId="24" fillId="0" borderId="31" xfId="0" applyNumberFormat="1" applyFont="1" applyFill="1" applyBorder="1"/>
    <xf numFmtId="3" fontId="24" fillId="0" borderId="24" xfId="0" applyNumberFormat="1" applyFont="1" applyFill="1" applyBorder="1" applyAlignment="1">
      <alignment horizontal="right" wrapText="1"/>
    </xf>
    <xf numFmtId="3" fontId="24" fillId="0" borderId="25" xfId="0" applyNumberFormat="1" applyFont="1" applyFill="1" applyBorder="1" applyAlignment="1">
      <alignment horizontal="right"/>
    </xf>
    <xf numFmtId="3" fontId="21" fillId="0" borderId="38" xfId="0" applyNumberFormat="1" applyFont="1" applyFill="1" applyBorder="1"/>
    <xf numFmtId="3" fontId="24" fillId="0" borderId="16" xfId="0" applyNumberFormat="1" applyFont="1" applyFill="1" applyBorder="1"/>
    <xf numFmtId="0" fontId="24" fillId="0" borderId="32" xfId="0" applyFont="1" applyFill="1" applyBorder="1" applyAlignment="1">
      <alignment wrapText="1"/>
    </xf>
    <xf numFmtId="3" fontId="24" fillId="0" borderId="28" xfId="0" applyNumberFormat="1" applyFont="1" applyFill="1" applyBorder="1"/>
    <xf numFmtId="0" fontId="24" fillId="0" borderId="19" xfId="0" applyFont="1" applyFill="1" applyBorder="1" applyAlignment="1">
      <alignment wrapText="1"/>
    </xf>
    <xf numFmtId="3" fontId="24" fillId="0" borderId="20" xfId="0" applyNumberFormat="1" applyFont="1" applyFill="1" applyBorder="1"/>
    <xf numFmtId="0" fontId="28" fillId="0" borderId="0" xfId="0" applyFont="1" applyAlignment="1">
      <alignment wrapText="1"/>
    </xf>
    <xf numFmtId="3" fontId="21" fillId="0" borderId="14" xfId="81" applyNumberFormat="1" applyFont="1" applyFill="1" applyBorder="1" applyAlignment="1">
      <alignment vertical="center"/>
    </xf>
    <xf numFmtId="3" fontId="21" fillId="29" borderId="14" xfId="81" applyNumberFormat="1" applyFont="1" applyFill="1" applyBorder="1" applyAlignment="1">
      <alignment vertical="center"/>
    </xf>
    <xf numFmtId="0" fontId="21" fillId="0" borderId="14" xfId="80" applyFont="1" applyFill="1" applyBorder="1" applyAlignment="1">
      <alignment wrapText="1"/>
    </xf>
    <xf numFmtId="3" fontId="24" fillId="0" borderId="0" xfId="71" applyNumberFormat="1" applyFont="1"/>
    <xf numFmtId="0" fontId="24" fillId="0" borderId="0" xfId="72" applyFont="1" applyBorder="1" applyAlignment="1">
      <alignment horizontal="center"/>
    </xf>
    <xf numFmtId="165" fontId="24" fillId="0" borderId="14" xfId="53" applyNumberFormat="1" applyFont="1" applyBorder="1" applyAlignment="1">
      <alignment wrapText="1"/>
    </xf>
    <xf numFmtId="3" fontId="24" fillId="29" borderId="14" xfId="81" applyNumberFormat="1" applyFont="1" applyFill="1" applyBorder="1" applyAlignment="1">
      <alignment horizontal="right" vertical="center" wrapText="1"/>
    </xf>
    <xf numFmtId="165" fontId="21" fillId="0" borderId="14" xfId="72" applyNumberFormat="1" applyFont="1" applyBorder="1"/>
    <xf numFmtId="165" fontId="24" fillId="0" borderId="14" xfId="53" applyNumberFormat="1" applyFont="1" applyBorder="1" applyAlignment="1">
      <alignment horizontal="center" vertical="center" wrapText="1"/>
    </xf>
    <xf numFmtId="0" fontId="24" fillId="29" borderId="14" xfId="81" applyFont="1" applyFill="1" applyBorder="1" applyAlignment="1">
      <alignment wrapText="1"/>
    </xf>
    <xf numFmtId="3" fontId="21" fillId="0" borderId="14" xfId="81" applyNumberFormat="1" applyFont="1" applyBorder="1" applyAlignment="1">
      <alignment vertical="center"/>
    </xf>
    <xf numFmtId="0" fontId="21" fillId="0" borderId="14" xfId="81" applyFont="1" applyBorder="1" applyAlignment="1">
      <alignment horizontal="left" vertical="center" wrapText="1"/>
    </xf>
    <xf numFmtId="0" fontId="21" fillId="29" borderId="14" xfId="80" applyFont="1" applyFill="1" applyBorder="1" applyAlignment="1">
      <alignment vertical="center" wrapText="1"/>
    </xf>
    <xf numFmtId="0" fontId="24" fillId="0" borderId="14" xfId="81" applyFont="1" applyBorder="1" applyAlignment="1">
      <alignment horizontal="left" vertical="center" wrapText="1"/>
    </xf>
    <xf numFmtId="3" fontId="24" fillId="0" borderId="14" xfId="81" applyNumberFormat="1" applyFont="1" applyBorder="1" applyAlignment="1">
      <alignment vertical="center"/>
    </xf>
    <xf numFmtId="0" fontId="21" fillId="0" borderId="14" xfId="80" applyFont="1" applyBorder="1" applyAlignment="1">
      <alignment horizontal="left" vertical="center" wrapText="1"/>
    </xf>
    <xf numFmtId="165" fontId="24" fillId="0" borderId="14" xfId="53" applyNumberFormat="1" applyFont="1" applyBorder="1" applyAlignment="1">
      <alignment vertical="center"/>
    </xf>
    <xf numFmtId="3" fontId="27" fillId="0" borderId="14" xfId="81" applyNumberFormat="1" applyFont="1" applyFill="1" applyBorder="1" applyAlignment="1">
      <alignment vertical="center"/>
    </xf>
    <xf numFmtId="3" fontId="24" fillId="0" borderId="14" xfId="81" applyNumberFormat="1" applyFont="1" applyBorder="1" applyAlignment="1">
      <alignment horizontal="right" vertical="center" wrapText="1"/>
    </xf>
    <xf numFmtId="0" fontId="24" fillId="29" borderId="14" xfId="81" applyFont="1" applyFill="1" applyBorder="1" applyAlignment="1">
      <alignment horizontal="left" vertical="center" wrapText="1"/>
    </xf>
    <xf numFmtId="165" fontId="21" fillId="0" borderId="14" xfId="53" applyNumberFormat="1" applyFont="1" applyBorder="1" applyAlignment="1">
      <alignment vertical="center"/>
    </xf>
    <xf numFmtId="3" fontId="24" fillId="0" borderId="25" xfId="0" applyNumberFormat="1" applyFont="1" applyFill="1" applyBorder="1"/>
    <xf numFmtId="0" fontId="21" fillId="0" borderId="14" xfId="0" applyFont="1" applyFill="1" applyBorder="1" applyAlignment="1">
      <alignment wrapText="1"/>
    </xf>
    <xf numFmtId="165" fontId="21" fillId="0" borderId="14" xfId="53" applyNumberFormat="1" applyFont="1" applyFill="1" applyBorder="1"/>
    <xf numFmtId="0" fontId="24" fillId="29" borderId="14" xfId="81" applyFont="1" applyFill="1" applyBorder="1" applyAlignment="1">
      <alignment horizontal="center" vertical="center" wrapText="1"/>
    </xf>
    <xf numFmtId="3" fontId="21" fillId="0" borderId="14" xfId="81" applyNumberFormat="1" applyFont="1" applyBorder="1" applyAlignment="1">
      <alignment horizontal="right" vertical="center" wrapText="1"/>
    </xf>
    <xf numFmtId="3" fontId="21" fillId="31" borderId="14" xfId="81" applyNumberFormat="1" applyFont="1" applyFill="1" applyBorder="1" applyAlignment="1">
      <alignment vertical="center"/>
    </xf>
    <xf numFmtId="3" fontId="24" fillId="0" borderId="14" xfId="81" applyNumberFormat="1" applyFont="1" applyBorder="1" applyAlignment="1">
      <alignment horizontal="center" vertical="center" wrapText="1"/>
    </xf>
    <xf numFmtId="164" fontId="21" fillId="0" borderId="14" xfId="80" applyNumberFormat="1" applyFont="1" applyFill="1" applyBorder="1" applyAlignment="1">
      <alignment wrapText="1"/>
    </xf>
    <xf numFmtId="164" fontId="21" fillId="29" borderId="14" xfId="80" applyNumberFormat="1" applyFont="1" applyFill="1" applyBorder="1" applyAlignment="1">
      <alignment wrapText="1"/>
    </xf>
    <xf numFmtId="165" fontId="24" fillId="29" borderId="14" xfId="53" applyNumberFormat="1" applyFont="1" applyFill="1" applyBorder="1" applyAlignment="1">
      <alignment vertical="center"/>
    </xf>
    <xf numFmtId="165" fontId="26" fillId="29" borderId="14" xfId="53" applyNumberFormat="1" applyFont="1" applyFill="1" applyBorder="1" applyAlignment="1">
      <alignment vertical="center"/>
    </xf>
    <xf numFmtId="165" fontId="24" fillId="29" borderId="14" xfId="53" applyNumberFormat="1" applyFont="1" applyFill="1" applyBorder="1"/>
    <xf numFmtId="0" fontId="24" fillId="29" borderId="14" xfId="81" applyFont="1" applyFill="1" applyBorder="1"/>
    <xf numFmtId="0" fontId="21" fillId="29" borderId="14" xfId="81" applyFont="1" applyFill="1" applyBorder="1" applyAlignment="1">
      <alignment horizontal="left" wrapText="1"/>
    </xf>
    <xf numFmtId="3" fontId="21" fillId="29" borderId="14" xfId="81" applyNumberFormat="1" applyFont="1" applyFill="1" applyBorder="1"/>
    <xf numFmtId="0" fontId="24" fillId="29" borderId="14" xfId="81" applyFont="1" applyFill="1" applyBorder="1" applyAlignment="1">
      <alignment vertical="center" wrapText="1"/>
    </xf>
    <xf numFmtId="165" fontId="21" fillId="29" borderId="14" xfId="53" applyNumberFormat="1" applyFont="1" applyFill="1" applyBorder="1" applyAlignment="1">
      <alignment vertical="center" wrapText="1"/>
    </xf>
    <xf numFmtId="164" fontId="21" fillId="29" borderId="14" xfId="81" applyNumberFormat="1" applyFont="1" applyFill="1" applyBorder="1" applyAlignment="1">
      <alignment wrapText="1"/>
    </xf>
    <xf numFmtId="0" fontId="21" fillId="29" borderId="14" xfId="80" applyFont="1" applyFill="1" applyBorder="1" applyAlignment="1">
      <alignment horizontal="left" wrapText="1"/>
    </xf>
    <xf numFmtId="0" fontId="24" fillId="29" borderId="14" xfId="80" applyFont="1" applyFill="1" applyBorder="1" applyAlignment="1">
      <alignment vertical="center" wrapText="1"/>
    </xf>
    <xf numFmtId="165" fontId="24" fillId="29" borderId="14" xfId="53" applyNumberFormat="1" applyFont="1" applyFill="1" applyBorder="1" applyAlignment="1">
      <alignment horizontal="right" vertical="center" wrapText="1"/>
    </xf>
    <xf numFmtId="0" fontId="21" fillId="29" borderId="14" xfId="81" applyFont="1" applyFill="1" applyBorder="1" applyAlignment="1">
      <alignment vertical="center" wrapText="1"/>
    </xf>
    <xf numFmtId="3" fontId="24" fillId="0" borderId="14" xfId="69" applyNumberFormat="1" applyFont="1" applyBorder="1" applyAlignment="1">
      <alignment wrapText="1"/>
    </xf>
    <xf numFmtId="3" fontId="21" fillId="0" borderId="14" xfId="69" applyNumberFormat="1" applyFont="1" applyBorder="1" applyAlignment="1">
      <alignment wrapText="1"/>
    </xf>
    <xf numFmtId="3" fontId="24" fillId="0" borderId="14" xfId="69" applyNumberFormat="1" applyFont="1" applyFill="1" applyBorder="1"/>
    <xf numFmtId="0" fontId="24" fillId="0" borderId="14" xfId="8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3" fontId="24" fillId="0" borderId="14" xfId="69" applyNumberFormat="1" applyFont="1" applyBorder="1" applyAlignment="1"/>
    <xf numFmtId="0" fontId="24" fillId="0" borderId="14" xfId="71" applyFont="1" applyBorder="1"/>
    <xf numFmtId="3" fontId="24" fillId="0" borderId="14" xfId="69" applyNumberFormat="1" applyFont="1" applyFill="1" applyBorder="1" applyAlignment="1"/>
    <xf numFmtId="0" fontId="21" fillId="0" borderId="14" xfId="71" applyFont="1" applyBorder="1"/>
    <xf numFmtId="3" fontId="24" fillId="0" borderId="14" xfId="70" applyNumberFormat="1" applyFont="1" applyBorder="1" applyAlignment="1">
      <alignment wrapText="1"/>
    </xf>
    <xf numFmtId="3" fontId="21" fillId="0" borderId="14" xfId="7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wrapText="1"/>
    </xf>
    <xf numFmtId="3" fontId="21" fillId="31" borderId="14" xfId="0" applyNumberFormat="1" applyFont="1" applyFill="1" applyBorder="1"/>
    <xf numFmtId="165" fontId="24" fillId="0" borderId="14" xfId="53" applyNumberFormat="1" applyFont="1" applyFill="1" applyBorder="1" applyAlignment="1">
      <alignment horizontal="center" vertical="center" wrapText="1"/>
    </xf>
    <xf numFmtId="0" fontId="24" fillId="0" borderId="14" xfId="77" applyFont="1" applyFill="1" applyBorder="1" applyAlignment="1">
      <alignment horizontal="left" vertical="center" wrapText="1"/>
    </xf>
    <xf numFmtId="0" fontId="21" fillId="0" borderId="14" xfId="77" applyFont="1" applyFill="1" applyBorder="1" applyAlignment="1">
      <alignment wrapText="1"/>
    </xf>
    <xf numFmtId="0" fontId="21" fillId="0" borderId="14" xfId="77" applyFont="1" applyBorder="1" applyAlignment="1">
      <alignment wrapText="1"/>
    </xf>
    <xf numFmtId="0" fontId="21" fillId="31" borderId="14" xfId="77" applyFont="1" applyFill="1" applyBorder="1"/>
    <xf numFmtId="0" fontId="21" fillId="0" borderId="14" xfId="77" applyFont="1" applyFill="1" applyBorder="1"/>
    <xf numFmtId="0" fontId="21" fillId="0" borderId="14" xfId="72" applyFont="1" applyFill="1" applyBorder="1" applyAlignment="1">
      <alignment wrapText="1"/>
    </xf>
    <xf numFmtId="165" fontId="24" fillId="0" borderId="14" xfId="53" applyNumberFormat="1" applyFont="1" applyBorder="1" applyAlignment="1"/>
    <xf numFmtId="0" fontId="24" fillId="0" borderId="14" xfId="80" applyFont="1" applyFill="1" applyBorder="1" applyAlignment="1">
      <alignment horizontal="left" vertical="center" wrapText="1" indent="1"/>
    </xf>
    <xf numFmtId="0" fontId="24" fillId="0" borderId="14" xfId="80" applyFont="1" applyFill="1" applyBorder="1" applyAlignment="1">
      <alignment horizontal="left" vertical="center" wrapText="1" indent="2"/>
    </xf>
    <xf numFmtId="0" fontId="21" fillId="0" borderId="14" xfId="80" applyFont="1" applyFill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wrapText="1" indent="5"/>
    </xf>
    <xf numFmtId="0" fontId="21" fillId="0" borderId="14" xfId="0" applyFont="1" applyFill="1" applyBorder="1" applyAlignment="1">
      <alignment horizontal="left" wrapText="1" indent="5"/>
    </xf>
    <xf numFmtId="0" fontId="21" fillId="0" borderId="14" xfId="80" applyFont="1" applyFill="1" applyBorder="1" applyAlignment="1">
      <alignment horizontal="left" vertical="center" wrapText="1" indent="1"/>
    </xf>
    <xf numFmtId="4" fontId="24" fillId="0" borderId="14" xfId="80" applyNumberFormat="1" applyFont="1" applyFill="1" applyBorder="1" applyAlignment="1">
      <alignment vertical="center" wrapText="1"/>
    </xf>
    <xf numFmtId="4" fontId="21" fillId="0" borderId="14" xfId="0" applyNumberFormat="1" applyFont="1" applyFill="1" applyBorder="1"/>
    <xf numFmtId="4" fontId="21" fillId="31" borderId="14" xfId="0" applyNumberFormat="1" applyFont="1" applyFill="1" applyBorder="1"/>
    <xf numFmtId="4" fontId="21" fillId="0" borderId="14" xfId="53" applyNumberFormat="1" applyFont="1" applyFill="1" applyBorder="1"/>
    <xf numFmtId="4" fontId="21" fillId="30" borderId="14" xfId="80" applyNumberFormat="1" applyFont="1" applyFill="1" applyBorder="1" applyAlignment="1">
      <alignment horizontal="right" vertical="center" wrapText="1"/>
    </xf>
    <xf numFmtId="4" fontId="24" fillId="0" borderId="14" xfId="69" applyNumberFormat="1" applyFont="1" applyBorder="1" applyAlignment="1"/>
    <xf numFmtId="4" fontId="21" fillId="0" borderId="14" xfId="69" applyNumberFormat="1" applyFont="1" applyFill="1" applyBorder="1" applyAlignment="1">
      <alignment horizontal="right"/>
    </xf>
    <xf numFmtId="4" fontId="24" fillId="0" borderId="14" xfId="69" applyNumberFormat="1" applyFont="1" applyFill="1" applyBorder="1"/>
    <xf numFmtId="4" fontId="24" fillId="0" borderId="14" xfId="71" applyNumberFormat="1" applyFont="1" applyBorder="1"/>
    <xf numFmtId="4" fontId="24" fillId="0" borderId="14" xfId="69" applyNumberFormat="1" applyFont="1" applyFill="1" applyBorder="1" applyAlignment="1"/>
    <xf numFmtId="4" fontId="21" fillId="0" borderId="14" xfId="69" applyNumberFormat="1" applyFont="1" applyFill="1" applyBorder="1" applyAlignment="1"/>
    <xf numFmtId="4" fontId="21" fillId="0" borderId="14" xfId="71" applyNumberFormat="1" applyFont="1" applyBorder="1"/>
    <xf numFmtId="4" fontId="24" fillId="0" borderId="14" xfId="70" applyNumberFormat="1" applyFont="1" applyBorder="1" applyAlignment="1">
      <alignment wrapText="1"/>
    </xf>
    <xf numFmtId="4" fontId="24" fillId="0" borderId="14" xfId="69" applyNumberFormat="1" applyFont="1" applyBorder="1" applyAlignment="1">
      <alignment wrapText="1"/>
    </xf>
    <xf numFmtId="4" fontId="24" fillId="0" borderId="14" xfId="72" applyNumberFormat="1" applyFont="1" applyBorder="1"/>
    <xf numFmtId="4" fontId="21" fillId="0" borderId="14" xfId="72" applyNumberFormat="1" applyFont="1" applyBorder="1"/>
    <xf numFmtId="4" fontId="21" fillId="0" borderId="0" xfId="72" applyNumberFormat="1" applyFont="1"/>
    <xf numFmtId="4" fontId="21" fillId="31" borderId="14" xfId="72" applyNumberFormat="1" applyFont="1" applyFill="1" applyBorder="1"/>
    <xf numFmtId="4" fontId="24" fillId="29" borderId="14" xfId="81" applyNumberFormat="1" applyFont="1" applyFill="1" applyBorder="1" applyAlignment="1">
      <alignment horizontal="right" vertical="center" wrapText="1"/>
    </xf>
    <xf numFmtId="4" fontId="21" fillId="29" borderId="14" xfId="81" applyNumberFormat="1" applyFont="1" applyFill="1" applyBorder="1" applyAlignment="1">
      <alignment horizontal="right" vertical="center" wrapText="1"/>
    </xf>
    <xf numFmtId="4" fontId="24" fillId="29" borderId="14" xfId="53" applyNumberFormat="1" applyFont="1" applyFill="1" applyBorder="1" applyAlignment="1">
      <alignment vertical="center"/>
    </xf>
    <xf numFmtId="4" fontId="21" fillId="31" borderId="14" xfId="81" applyNumberFormat="1" applyFont="1" applyFill="1" applyBorder="1" applyAlignment="1">
      <alignment vertical="center"/>
    </xf>
    <xf numFmtId="4" fontId="21" fillId="0" borderId="14" xfId="81" applyNumberFormat="1" applyFont="1" applyFill="1" applyBorder="1" applyAlignment="1">
      <alignment vertical="center"/>
    </xf>
    <xf numFmtId="4" fontId="24" fillId="29" borderId="14" xfId="53" applyNumberFormat="1" applyFont="1" applyFill="1" applyBorder="1"/>
    <xf numFmtId="4" fontId="24" fillId="29" borderId="14" xfId="81" applyNumberFormat="1" applyFont="1" applyFill="1" applyBorder="1" applyAlignment="1">
      <alignment horizontal="right" wrapText="1"/>
    </xf>
    <xf numFmtId="4" fontId="21" fillId="29" borderId="14" xfId="81" applyNumberFormat="1" applyFont="1" applyFill="1" applyBorder="1" applyAlignment="1">
      <alignment horizontal="right" wrapText="1"/>
    </xf>
    <xf numFmtId="4" fontId="21" fillId="29" borderId="14" xfId="53" applyNumberFormat="1" applyFont="1" applyFill="1" applyBorder="1" applyAlignment="1">
      <alignment vertical="center" wrapText="1"/>
    </xf>
    <xf numFmtId="4" fontId="21" fillId="29" borderId="14" xfId="53" applyNumberFormat="1" applyFont="1" applyFill="1" applyBorder="1" applyAlignment="1">
      <alignment vertical="center"/>
    </xf>
    <xf numFmtId="4" fontId="24" fillId="0" borderId="14" xfId="53" applyNumberFormat="1" applyFont="1" applyBorder="1" applyAlignment="1">
      <alignment horizontal="center" vertical="center" wrapText="1"/>
    </xf>
    <xf numFmtId="0" fontId="24" fillId="0" borderId="0" xfId="72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4" fontId="24" fillId="0" borderId="14" xfId="53" applyNumberFormat="1" applyFont="1" applyBorder="1"/>
    <xf numFmtId="4" fontId="24" fillId="0" borderId="14" xfId="72" applyNumberFormat="1" applyFont="1" applyBorder="1" applyAlignment="1">
      <alignment wrapText="1"/>
    </xf>
    <xf numFmtId="4" fontId="21" fillId="0" borderId="14" xfId="81" applyNumberFormat="1" applyFont="1" applyBorder="1" applyAlignment="1">
      <alignment vertical="center"/>
    </xf>
    <xf numFmtId="4" fontId="24" fillId="0" borderId="14" xfId="81" applyNumberFormat="1" applyFont="1" applyBorder="1" applyAlignment="1">
      <alignment vertical="center"/>
    </xf>
    <xf numFmtId="4" fontId="27" fillId="0" borderId="14" xfId="81" applyNumberFormat="1" applyFont="1" applyFill="1" applyBorder="1" applyAlignment="1">
      <alignment vertical="center"/>
    </xf>
    <xf numFmtId="4" fontId="24" fillId="0" borderId="14" xfId="81" applyNumberFormat="1" applyFont="1" applyBorder="1" applyAlignment="1">
      <alignment horizontal="right" vertical="center" wrapText="1"/>
    </xf>
    <xf numFmtId="4" fontId="21" fillId="0" borderId="14" xfId="72" applyNumberFormat="1" applyFont="1" applyBorder="1" applyAlignment="1">
      <alignment wrapText="1"/>
    </xf>
    <xf numFmtId="4" fontId="24" fillId="0" borderId="14" xfId="53" applyNumberFormat="1" applyFont="1" applyBorder="1" applyAlignment="1">
      <alignment horizontal="right"/>
    </xf>
    <xf numFmtId="4" fontId="24" fillId="0" borderId="14" xfId="53" applyNumberFormat="1" applyFont="1" applyBorder="1" applyAlignment="1"/>
    <xf numFmtId="43" fontId="21" fillId="0" borderId="14" xfId="53" applyNumberFormat="1" applyFont="1" applyBorder="1"/>
    <xf numFmtId="43" fontId="21" fillId="0" borderId="14" xfId="72" applyNumberFormat="1" applyFont="1" applyBorder="1"/>
    <xf numFmtId="43" fontId="24" fillId="0" borderId="14" xfId="53" applyNumberFormat="1" applyFont="1" applyBorder="1"/>
    <xf numFmtId="43" fontId="24" fillId="0" borderId="14" xfId="72" applyNumberFormat="1" applyFont="1" applyBorder="1"/>
    <xf numFmtId="4" fontId="21" fillId="0" borderId="14" xfId="74" applyNumberFormat="1" applyFont="1" applyBorder="1"/>
    <xf numFmtId="4" fontId="21" fillId="29" borderId="14" xfId="82" applyNumberFormat="1" applyFont="1" applyFill="1" applyBorder="1" applyAlignment="1">
      <alignment horizontal="right" wrapText="1"/>
    </xf>
    <xf numFmtId="4" fontId="24" fillId="0" borderId="14" xfId="74" applyNumberFormat="1" applyFont="1" applyBorder="1"/>
    <xf numFmtId="4" fontId="24" fillId="0" borderId="0" xfId="74" applyNumberFormat="1" applyFont="1" applyBorder="1"/>
    <xf numFmtId="4" fontId="21" fillId="0" borderId="0" xfId="74" applyNumberFormat="1" applyFont="1"/>
    <xf numFmtId="3" fontId="21" fillId="0" borderId="45" xfId="74" applyNumberFormat="1" applyFont="1" applyBorder="1"/>
    <xf numFmtId="0" fontId="24" fillId="0" borderId="0" xfId="81" applyFont="1" applyAlignment="1">
      <alignment horizontal="center" vertical="center" wrapText="1"/>
    </xf>
    <xf numFmtId="0" fontId="24" fillId="29" borderId="14" xfId="81" applyFont="1" applyFill="1" applyBorder="1" applyAlignment="1">
      <alignment horizontal="center" vertical="center" wrapText="1"/>
    </xf>
    <xf numFmtId="0" fontId="24" fillId="0" borderId="42" xfId="72" applyFont="1" applyBorder="1" applyAlignment="1">
      <alignment horizontal="center" vertical="center" wrapText="1"/>
    </xf>
    <xf numFmtId="0" fontId="24" fillId="0" borderId="41" xfId="72" applyFont="1" applyBorder="1" applyAlignment="1">
      <alignment horizontal="center" vertical="center" wrapText="1"/>
    </xf>
    <xf numFmtId="0" fontId="24" fillId="0" borderId="39" xfId="72" applyFont="1" applyBorder="1" applyAlignment="1">
      <alignment horizontal="center" vertical="center" wrapText="1"/>
    </xf>
    <xf numFmtId="0" fontId="24" fillId="0" borderId="43" xfId="72" applyFont="1" applyBorder="1" applyAlignment="1">
      <alignment horizontal="center" vertical="center" wrapText="1"/>
    </xf>
    <xf numFmtId="0" fontId="24" fillId="0" borderId="44" xfId="72" applyFont="1" applyBorder="1" applyAlignment="1">
      <alignment horizontal="center" vertical="center" wrapText="1"/>
    </xf>
    <xf numFmtId="0" fontId="24" fillId="0" borderId="40" xfId="72" applyFont="1" applyBorder="1" applyAlignment="1">
      <alignment horizontal="center" vertical="center" wrapText="1"/>
    </xf>
    <xf numFmtId="0" fontId="24" fillId="0" borderId="0" xfId="77" applyFont="1" applyFill="1" applyAlignment="1">
      <alignment horizontal="center" vertical="center" wrapText="1"/>
    </xf>
    <xf numFmtId="3" fontId="24" fillId="0" borderId="0" xfId="70" applyNumberFormat="1" applyFont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4" fillId="0" borderId="0" xfId="72" applyFont="1" applyBorder="1" applyAlignment="1">
      <alignment horizontal="center"/>
    </xf>
    <xf numFmtId="0" fontId="24" fillId="0" borderId="0" xfId="72" applyFont="1" applyBorder="1" applyAlignment="1">
      <alignment horizontal="center" vertical="center"/>
    </xf>
    <xf numFmtId="0" fontId="24" fillId="0" borderId="0" xfId="74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</cellXfs>
  <cellStyles count="8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xplanatory Text" xfId="52"/>
    <cellStyle name="Ezres" xfId="53" builtinId="3"/>
    <cellStyle name="Ezres 2" xfId="54"/>
    <cellStyle name="Ezres 3" xfId="55"/>
    <cellStyle name="Figyelmeztetés" xfId="56" builtinId="11" customBuiltin="1"/>
    <cellStyle name="Good" xfId="57"/>
    <cellStyle name="Heading 1" xfId="58"/>
    <cellStyle name="Heading 2" xfId="59"/>
    <cellStyle name="Heading 3" xfId="60"/>
    <cellStyle name="Heading 4" xfId="61"/>
    <cellStyle name="Hivatkozott cella" xfId="62" builtinId="24" customBuiltin="1"/>
    <cellStyle name="Input" xfId="63"/>
    <cellStyle name="Jegyzet" xfId="64" builtinId="10" customBuiltin="1"/>
    <cellStyle name="Kimenet" xfId="65" builtinId="21" customBuiltin="1"/>
    <cellStyle name="Linked Cell" xfId="66"/>
    <cellStyle name="Neutral" xfId="67"/>
    <cellStyle name="Normál" xfId="0" builtinId="0"/>
    <cellStyle name="Normál 2" xfId="68"/>
    <cellStyle name="Normál_2007_Koncepció táblák" xfId="69"/>
    <cellStyle name="Normál_2007_Koncepció táblák_2013. évi költségvetés I." xfId="70"/>
    <cellStyle name="Normál_2012. évi költségvetés IV. módosítás" xfId="71"/>
    <cellStyle name="Normál_2013. évi költségvetés I." xfId="72"/>
    <cellStyle name="Normál_2013. évi költségvetés I._2013. évi költségvetés II. forduló testületi előterjesztés" xfId="73"/>
    <cellStyle name="Normál_2013. évi költségvetés II. forduló testületi előterjesztés" xfId="74"/>
    <cellStyle name="Normál_2014. évi kv. 6. tábla_kitöltve_szűkített II.fordulóhoz 2" xfId="75"/>
    <cellStyle name="Normal_KARSZJ3" xfId="76"/>
    <cellStyle name="Normál_költségvetés10melléklet" xfId="77"/>
    <cellStyle name="Normál_költségvetés10melléklet_2013. évi költségvetés I." xfId="78"/>
    <cellStyle name="Normal_KTRSZJ" xfId="79"/>
    <cellStyle name="Normál_Másolat eredetijeKÖLTSÉGVETÉS2005új1" xfId="80"/>
    <cellStyle name="Normál_Másolat eredetijeKÖLTSÉGVETÉS2005új1_2013. évi költségvetés I." xfId="81"/>
    <cellStyle name="Normál_Másolat eredetijeKÖLTSÉGVETÉS2005új1_2013. évi költségvetés II. forduló testületi előterjesztés" xfId="82"/>
    <cellStyle name="Note" xfId="83"/>
    <cellStyle name="Output" xfId="84"/>
    <cellStyle name="Összesen" xfId="85" builtinId="25" customBuiltin="1"/>
    <cellStyle name="Title" xfId="86"/>
    <cellStyle name="Total" xfId="87"/>
    <cellStyle name="Warning Text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ncst&#225;r/LACZKA%20M&#193;RIA/K&#246;lts&#233;gvet&#233;s%202018/P&#233;csely/2018_II_m&#243;dos&#237;t&#225;s/Rendelet%20tervezet/P&#233;csely%20&#214;nkorm&#225;nyzat%202018.&#233;vi%20k&#246;lts&#233;gvet&#233;s%20II.%20m&#243;dos&#237;t&#225;s%20rendelet%20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a"/>
      <sheetName val="2.sz.tábla"/>
      <sheetName val="2a. tábla"/>
      <sheetName val="3.tábla"/>
      <sheetName val="4. sz. tábla"/>
      <sheetName val="5.sz.tábla "/>
      <sheetName val="6. sz. tábla "/>
      <sheetName val="7. sz. tábla"/>
      <sheetName val="8. sz. tábla "/>
    </sheetNames>
    <sheetDataSet>
      <sheetData sheetId="0">
        <row r="14">
          <cell r="E14">
            <v>7943240</v>
          </cell>
        </row>
        <row r="19">
          <cell r="E19">
            <v>7943240</v>
          </cell>
        </row>
        <row r="25">
          <cell r="E25">
            <v>3400000</v>
          </cell>
        </row>
        <row r="27">
          <cell r="D27">
            <v>5767000</v>
          </cell>
        </row>
        <row r="28">
          <cell r="D28">
            <v>25233808</v>
          </cell>
        </row>
        <row r="31">
          <cell r="E31">
            <v>2526269</v>
          </cell>
        </row>
        <row r="34">
          <cell r="D34">
            <v>111984369</v>
          </cell>
        </row>
        <row r="38">
          <cell r="E38">
            <v>7943240</v>
          </cell>
        </row>
      </sheetData>
      <sheetData sheetId="1">
        <row r="5">
          <cell r="D5">
            <v>41947155</v>
          </cell>
        </row>
        <row r="21">
          <cell r="B21">
            <v>0</v>
          </cell>
          <cell r="E21">
            <v>0</v>
          </cell>
        </row>
        <row r="33">
          <cell r="D33">
            <v>20250000</v>
          </cell>
        </row>
        <row r="47">
          <cell r="D47">
            <v>7862520</v>
          </cell>
        </row>
        <row r="60">
          <cell r="B60">
            <v>0</v>
          </cell>
          <cell r="E60">
            <v>0</v>
          </cell>
        </row>
        <row r="66">
          <cell r="E66">
            <v>0</v>
          </cell>
        </row>
        <row r="79">
          <cell r="E79">
            <v>0</v>
          </cell>
        </row>
        <row r="82">
          <cell r="D82">
            <v>544230</v>
          </cell>
        </row>
      </sheetData>
      <sheetData sheetId="2" refreshError="1"/>
      <sheetData sheetId="3">
        <row r="7">
          <cell r="D7">
            <v>19418089</v>
          </cell>
        </row>
        <row r="8">
          <cell r="D8">
            <v>3772052</v>
          </cell>
        </row>
        <row r="9">
          <cell r="D9">
            <v>34333000</v>
          </cell>
        </row>
        <row r="34">
          <cell r="E34">
            <v>0</v>
          </cell>
        </row>
        <row r="48">
          <cell r="D48">
            <v>3704000</v>
          </cell>
        </row>
      </sheetData>
      <sheetData sheetId="4">
        <row r="5">
          <cell r="D5">
            <v>12370071</v>
          </cell>
        </row>
        <row r="14">
          <cell r="E1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53"/>
  <sheetViews>
    <sheetView tabSelected="1" view="pageLayout" topLeftCell="A3" zoomScaleNormal="75" zoomScaleSheetLayoutView="89" workbookViewId="0">
      <selection activeCell="A4" sqref="A4:E4"/>
    </sheetView>
  </sheetViews>
  <sheetFormatPr defaultColWidth="9.140625" defaultRowHeight="15.75" x14ac:dyDescent="0.25"/>
  <cols>
    <col min="1" max="1" width="40.42578125" style="80" customWidth="1"/>
    <col min="2" max="2" width="15.140625" style="3" customWidth="1"/>
    <col min="3" max="4" width="14.85546875" style="73" customWidth="1"/>
    <col min="5" max="5" width="16.140625" style="3" customWidth="1"/>
    <col min="6" max="6" width="9.140625" style="3"/>
    <col min="7" max="8" width="16.28515625" style="3" bestFit="1" customWidth="1"/>
    <col min="9" max="16384" width="9.140625" style="3"/>
  </cols>
  <sheetData>
    <row r="1" spans="1:5" hidden="1" x14ac:dyDescent="0.25">
      <c r="A1" s="2"/>
    </row>
    <row r="2" spans="1:5" hidden="1" x14ac:dyDescent="0.25">
      <c r="A2" s="2"/>
    </row>
    <row r="3" spans="1:5" x14ac:dyDescent="0.25">
      <c r="A3" s="2"/>
    </row>
    <row r="4" spans="1:5" ht="30.75" customHeight="1" x14ac:dyDescent="0.25">
      <c r="A4" s="302" t="s">
        <v>317</v>
      </c>
      <c r="B4" s="302"/>
      <c r="C4" s="302"/>
      <c r="D4" s="302"/>
      <c r="E4" s="302"/>
    </row>
    <row r="5" spans="1:5" x14ac:dyDescent="0.25">
      <c r="A5" s="2"/>
    </row>
    <row r="6" spans="1:5" s="74" customFormat="1" ht="56.25" customHeight="1" x14ac:dyDescent="0.2">
      <c r="A6" s="4" t="s">
        <v>205</v>
      </c>
      <c r="B6" s="4" t="s">
        <v>345</v>
      </c>
      <c r="C6" s="190" t="s">
        <v>346</v>
      </c>
      <c r="D6" s="190" t="s">
        <v>359</v>
      </c>
      <c r="E6" s="4" t="s">
        <v>358</v>
      </c>
    </row>
    <row r="7" spans="1:5" ht="31.5" x14ac:dyDescent="0.25">
      <c r="A7" s="191" t="s">
        <v>1</v>
      </c>
      <c r="B7" s="192">
        <f>'2.sz.tábla'!B5</f>
        <v>33655434</v>
      </c>
      <c r="C7" s="192">
        <f>'2.sz.tábla'!C5</f>
        <v>34003915</v>
      </c>
      <c r="D7" s="192">
        <f>'2.sz.tábla'!D5</f>
        <v>25436641</v>
      </c>
      <c r="E7" s="285">
        <f>'2.sz.tábla'!E5</f>
        <v>74.805036420071048</v>
      </c>
    </row>
    <row r="8" spans="1:5" ht="31.5" x14ac:dyDescent="0.25">
      <c r="A8" s="193" t="s">
        <v>2</v>
      </c>
      <c r="B8" s="192">
        <f>'2.sz.tábla'!B21</f>
        <v>0</v>
      </c>
      <c r="C8" s="192">
        <f>'2.sz.tábla'!C21</f>
        <v>0</v>
      </c>
      <c r="D8" s="192">
        <f>'2.sz.tábla'!D21</f>
        <v>0</v>
      </c>
      <c r="E8" s="285">
        <f>'2.sz.tábla'!E21</f>
        <v>0</v>
      </c>
    </row>
    <row r="9" spans="1:5" ht="18" customHeight="1" x14ac:dyDescent="0.25">
      <c r="A9" s="193" t="s">
        <v>3</v>
      </c>
      <c r="B9" s="192">
        <f>'2.sz.tábla'!B33</f>
        <v>20250000</v>
      </c>
      <c r="C9" s="192">
        <f>'2.sz.tábla'!C33</f>
        <v>20250000</v>
      </c>
      <c r="D9" s="192">
        <f>'2.sz.tábla'!D33</f>
        <v>11607518</v>
      </c>
      <c r="E9" s="285">
        <f>'2.sz.tábla'!E33</f>
        <v>57.321076543209884</v>
      </c>
    </row>
    <row r="10" spans="1:5" ht="18" customHeight="1" x14ac:dyDescent="0.25">
      <c r="A10" s="193" t="s">
        <v>4</v>
      </c>
      <c r="B10" s="192">
        <f>'2.sz.tábla'!B47</f>
        <v>7100000</v>
      </c>
      <c r="C10" s="192">
        <f>'2.sz.tábla'!C47</f>
        <v>7862520</v>
      </c>
      <c r="D10" s="192">
        <f>'2.sz.tábla'!D47</f>
        <v>5022049</v>
      </c>
      <c r="E10" s="285">
        <f>'2.sz.tábla'!E47</f>
        <v>63.873274726169214</v>
      </c>
    </row>
    <row r="11" spans="1:5" ht="18" customHeight="1" x14ac:dyDescent="0.25">
      <c r="A11" s="193" t="s">
        <v>5</v>
      </c>
      <c r="B11" s="192">
        <f>'2.sz.tábla'!B60</f>
        <v>0</v>
      </c>
      <c r="C11" s="192">
        <f>'2.sz.tábla'!C60</f>
        <v>177480</v>
      </c>
      <c r="D11" s="192">
        <f>'2.sz.tábla'!D60</f>
        <v>177480</v>
      </c>
      <c r="E11" s="285">
        <f>'2.sz.tábla'!E60</f>
        <v>100</v>
      </c>
    </row>
    <row r="12" spans="1:5" ht="16.5" customHeight="1" x14ac:dyDescent="0.25">
      <c r="A12" s="194" t="s">
        <v>6</v>
      </c>
      <c r="B12" s="192">
        <f>'2.sz.tábla'!B66</f>
        <v>0</v>
      </c>
      <c r="C12" s="192">
        <f>'2.sz.tábla'!C66</f>
        <v>0</v>
      </c>
      <c r="D12" s="192">
        <f>'2.sz.tábla'!D66</f>
        <v>0</v>
      </c>
      <c r="E12" s="285">
        <f>'2.sz.tábla'!E66</f>
        <v>0</v>
      </c>
    </row>
    <row r="13" spans="1:5" ht="18" customHeight="1" x14ac:dyDescent="0.25">
      <c r="A13" s="194" t="s">
        <v>7</v>
      </c>
      <c r="B13" s="192">
        <f>'2.sz.tábla'!B72</f>
        <v>0</v>
      </c>
      <c r="C13" s="192">
        <v>0</v>
      </c>
      <c r="D13" s="192">
        <v>0</v>
      </c>
      <c r="E13" s="285">
        <v>0</v>
      </c>
    </row>
    <row r="14" spans="1:5" s="75" customFormat="1" ht="19.5" customHeight="1" x14ac:dyDescent="0.25">
      <c r="A14" s="195" t="s">
        <v>8</v>
      </c>
      <c r="B14" s="196">
        <f>SUM(B7:B13)</f>
        <v>61005434</v>
      </c>
      <c r="C14" s="196">
        <f>SUM(C7:C13)</f>
        <v>62293915</v>
      </c>
      <c r="D14" s="196">
        <f>SUM(D7:D13)</f>
        <v>42243688</v>
      </c>
      <c r="E14" s="286">
        <f>D14/C14*100</f>
        <v>67.81350634327606</v>
      </c>
    </row>
    <row r="15" spans="1:5" s="75" customFormat="1" ht="18.75" customHeight="1" x14ac:dyDescent="0.25">
      <c r="A15" s="197" t="s">
        <v>9</v>
      </c>
      <c r="B15" s="196"/>
      <c r="C15" s="198"/>
      <c r="D15" s="198"/>
      <c r="E15" s="192"/>
    </row>
    <row r="16" spans="1:5" ht="31.5" x14ac:dyDescent="0.25">
      <c r="A16" s="193" t="s">
        <v>208</v>
      </c>
      <c r="B16" s="199">
        <f>'2.sz.tábla'!B79</f>
        <v>38541663</v>
      </c>
      <c r="C16" s="199">
        <f>'2.sz.tábla'!C79</f>
        <v>42894625</v>
      </c>
      <c r="D16" s="199">
        <f>'2.sz.tábla'!D79</f>
        <v>42894625</v>
      </c>
      <c r="E16" s="287">
        <f>'2.sz.tábla'!E79</f>
        <v>100</v>
      </c>
    </row>
    <row r="17" spans="1:11" ht="47.25" x14ac:dyDescent="0.25">
      <c r="A17" s="193" t="s">
        <v>10</v>
      </c>
      <c r="B17" s="192">
        <f>'2.sz.tábla'!B82</f>
        <v>544230</v>
      </c>
      <c r="C17" s="192">
        <f>'2.sz.tábla'!C82</f>
        <v>544230</v>
      </c>
      <c r="D17" s="192">
        <f>'2.sz.tábla'!D82</f>
        <v>303585</v>
      </c>
      <c r="E17" s="285">
        <f>'2.sz.tábla'!E82</f>
        <v>55.782481671352194</v>
      </c>
    </row>
    <row r="18" spans="1:11" s="75" customFormat="1" ht="18.75" customHeight="1" x14ac:dyDescent="0.25">
      <c r="A18" s="195" t="s">
        <v>11</v>
      </c>
      <c r="B18" s="200">
        <f>B16+B17</f>
        <v>39085893</v>
      </c>
      <c r="C18" s="200">
        <f>C16+C17</f>
        <v>43438855</v>
      </c>
      <c r="D18" s="200">
        <f>D16+D17</f>
        <v>43198210</v>
      </c>
      <c r="E18" s="288">
        <f>D18/C18*100</f>
        <v>99.44601440346436</v>
      </c>
    </row>
    <row r="19" spans="1:11" s="75" customFormat="1" ht="19.5" customHeight="1" x14ac:dyDescent="0.25">
      <c r="A19" s="201" t="s">
        <v>12</v>
      </c>
      <c r="B19" s="188">
        <f>B14+B18</f>
        <v>100091327</v>
      </c>
      <c r="C19" s="188">
        <f>C14+C18</f>
        <v>105732770</v>
      </c>
      <c r="D19" s="188">
        <f>D14+D18</f>
        <v>85441898</v>
      </c>
      <c r="E19" s="270">
        <f>D19/C19*100</f>
        <v>80.809287413920956</v>
      </c>
    </row>
    <row r="20" spans="1:11" s="75" customFormat="1" ht="14.25" customHeight="1" x14ac:dyDescent="0.25">
      <c r="A20" s="303"/>
      <c r="B20" s="303"/>
      <c r="C20" s="303"/>
      <c r="D20" s="303"/>
      <c r="E20" s="303"/>
      <c r="F20" s="76"/>
      <c r="G20" s="76"/>
      <c r="H20" s="76"/>
      <c r="I20" s="76"/>
      <c r="J20" s="76"/>
      <c r="K20" s="76"/>
    </row>
    <row r="21" spans="1:11" s="75" customFormat="1" ht="14.25" customHeight="1" x14ac:dyDescent="0.25">
      <c r="A21" s="303"/>
      <c r="B21" s="303"/>
      <c r="C21" s="303"/>
      <c r="D21" s="303"/>
      <c r="E21" s="303"/>
      <c r="F21" s="76"/>
      <c r="G21" s="76"/>
      <c r="H21" s="76"/>
      <c r="I21" s="76"/>
      <c r="J21" s="76"/>
      <c r="K21" s="76"/>
    </row>
    <row r="22" spans="1:11" s="77" customFormat="1" ht="20.100000000000001" customHeight="1" x14ac:dyDescent="0.25">
      <c r="A22" s="195" t="s">
        <v>13</v>
      </c>
      <c r="B22" s="196">
        <f>SUM(B23:B24)</f>
        <v>70233994</v>
      </c>
      <c r="C22" s="196">
        <f>SUM(C23:C24)</f>
        <v>71757546</v>
      </c>
      <c r="D22" s="196">
        <f>SUM(D23:D24)</f>
        <v>29746062</v>
      </c>
      <c r="E22" s="286">
        <f>SUM(E23:E24)</f>
        <v>41.45356643049081</v>
      </c>
      <c r="F22" s="56"/>
      <c r="G22" s="56"/>
      <c r="H22" s="56"/>
      <c r="I22" s="56"/>
      <c r="J22" s="56"/>
      <c r="K22" s="56"/>
    </row>
    <row r="23" spans="1:11" s="77" customFormat="1" ht="20.100000000000001" customHeight="1" x14ac:dyDescent="0.25">
      <c r="A23" s="193" t="s">
        <v>14</v>
      </c>
      <c r="B23" s="192">
        <f>'3.tábla'!B49</f>
        <v>70233994</v>
      </c>
      <c r="C23" s="192">
        <f>'3.tábla'!C49</f>
        <v>71757546</v>
      </c>
      <c r="D23" s="192">
        <f>'3.tábla'!D49</f>
        <v>29746062</v>
      </c>
      <c r="E23" s="285">
        <f>'3.tábla'!E49</f>
        <v>41.45356643049081</v>
      </c>
      <c r="F23" s="56"/>
      <c r="G23" s="56"/>
      <c r="H23" s="56"/>
      <c r="I23" s="56"/>
      <c r="J23" s="56"/>
      <c r="K23" s="56"/>
    </row>
    <row r="24" spans="1:11" s="77" customFormat="1" ht="18" customHeight="1" x14ac:dyDescent="0.25">
      <c r="A24" s="193"/>
      <c r="B24" s="6"/>
      <c r="C24" s="6"/>
      <c r="D24" s="6"/>
      <c r="E24" s="285"/>
      <c r="F24" s="56"/>
      <c r="G24" s="56"/>
      <c r="H24" s="56"/>
      <c r="I24" s="56"/>
      <c r="J24" s="56"/>
      <c r="K24" s="56"/>
    </row>
    <row r="25" spans="1:11" s="75" customFormat="1" ht="20.100000000000001" customHeight="1" x14ac:dyDescent="0.25">
      <c r="A25" s="195" t="s">
        <v>15</v>
      </c>
      <c r="B25" s="200">
        <f>SUM(B26:B29)</f>
        <v>24264708</v>
      </c>
      <c r="C25" s="200">
        <f>SUM(C26:C29)</f>
        <v>27675808</v>
      </c>
      <c r="D25" s="200">
        <f>SUM(D26:D29)</f>
        <v>6933018</v>
      </c>
      <c r="E25" s="288">
        <f>D25/C25*100</f>
        <v>25.050824171059432</v>
      </c>
      <c r="G25" s="78"/>
      <c r="H25" s="78"/>
    </row>
    <row r="26" spans="1:11" ht="19.5" customHeight="1" x14ac:dyDescent="0.25">
      <c r="A26" s="193" t="s">
        <v>16</v>
      </c>
      <c r="B26" s="192">
        <v>0</v>
      </c>
      <c r="C26" s="192">
        <f>'2.sz.tábla'!C92</f>
        <v>0</v>
      </c>
      <c r="D26" s="192">
        <f>'2.sz.tábla'!D92</f>
        <v>0</v>
      </c>
      <c r="E26" s="285">
        <v>0</v>
      </c>
      <c r="G26" s="73"/>
      <c r="H26" s="73"/>
    </row>
    <row r="27" spans="1:11" s="75" customFormat="1" ht="18" customHeight="1" x14ac:dyDescent="0.25">
      <c r="A27" s="193" t="s">
        <v>224</v>
      </c>
      <c r="B27" s="192">
        <f>'5.sz.tábla '!B13</f>
        <v>2400000</v>
      </c>
      <c r="C27" s="192">
        <f>'5.sz.tábla '!C13</f>
        <v>5067000</v>
      </c>
      <c r="D27" s="192">
        <f>'5.sz.tábla '!D13</f>
        <v>161177</v>
      </c>
      <c r="E27" s="285">
        <f>'5.sz.tábla '!E13</f>
        <v>40.294249999999998</v>
      </c>
      <c r="G27" s="78"/>
      <c r="H27" s="78"/>
    </row>
    <row r="28" spans="1:11" ht="18" customHeight="1" x14ac:dyDescent="0.25">
      <c r="A28" s="193" t="s">
        <v>17</v>
      </c>
      <c r="B28" s="192">
        <f>'5.sz.tábla '!B24</f>
        <v>21789708</v>
      </c>
      <c r="C28" s="192">
        <f>'5.sz.tábla '!C24</f>
        <v>22533808</v>
      </c>
      <c r="D28" s="192">
        <f>'5.sz.tábla '!D24</f>
        <v>6696841</v>
      </c>
      <c r="E28" s="285">
        <f>'5.sz.tábla '!E24</f>
        <v>29.719082544770064</v>
      </c>
      <c r="G28" s="73"/>
      <c r="H28" s="73"/>
    </row>
    <row r="29" spans="1:11" ht="18" customHeight="1" x14ac:dyDescent="0.25">
      <c r="A29" s="193" t="s">
        <v>269</v>
      </c>
      <c r="B29" s="192">
        <f>'5.sz.tábla '!B27</f>
        <v>75000</v>
      </c>
      <c r="C29" s="192">
        <f>'5.sz.tábla '!C27</f>
        <v>75000</v>
      </c>
      <c r="D29" s="192">
        <f>'5.sz.tábla '!D27</f>
        <v>75000</v>
      </c>
      <c r="E29" s="285">
        <f>'5.sz.tábla '!E27</f>
        <v>100</v>
      </c>
      <c r="G29" s="73"/>
      <c r="H29" s="73"/>
    </row>
    <row r="30" spans="1:11" ht="12.75" customHeight="1" x14ac:dyDescent="0.25">
      <c r="A30" s="195"/>
      <c r="B30" s="192"/>
      <c r="C30" s="192"/>
      <c r="D30" s="192"/>
      <c r="E30" s="285"/>
      <c r="G30" s="73"/>
      <c r="H30" s="73"/>
    </row>
    <row r="31" spans="1:11" s="75" customFormat="1" ht="18.75" customHeight="1" x14ac:dyDescent="0.25">
      <c r="A31" s="195" t="s">
        <v>18</v>
      </c>
      <c r="B31" s="200">
        <f>SUM(B32:B33)</f>
        <v>3900984</v>
      </c>
      <c r="C31" s="200">
        <f t="shared" ref="C31:E31" si="0">SUM(C32:C33)</f>
        <v>4607775</v>
      </c>
      <c r="D31" s="200">
        <f t="shared" si="0"/>
        <v>0</v>
      </c>
      <c r="E31" s="288">
        <f t="shared" si="0"/>
        <v>0</v>
      </c>
      <c r="G31" s="78"/>
      <c r="H31" s="78"/>
    </row>
    <row r="32" spans="1:11" s="75" customFormat="1" ht="18" customHeight="1" x14ac:dyDescent="0.25">
      <c r="A32" s="193" t="s">
        <v>19</v>
      </c>
      <c r="B32" s="192">
        <v>3900984</v>
      </c>
      <c r="C32" s="207">
        <f>3900984+1897528+720000+43887+83060+43734+157480+20000+2455434-1147232-156000-744100-2667000</f>
        <v>4607775</v>
      </c>
      <c r="D32" s="207">
        <v>0</v>
      </c>
      <c r="E32" s="285">
        <f>D32/C32*100</f>
        <v>0</v>
      </c>
      <c r="G32" s="78"/>
      <c r="H32" s="78"/>
    </row>
    <row r="33" spans="1:7" s="75" customFormat="1" ht="18" customHeight="1" x14ac:dyDescent="0.25">
      <c r="A33" s="193" t="s">
        <v>20</v>
      </c>
      <c r="B33" s="192">
        <v>0</v>
      </c>
      <c r="C33" s="207">
        <v>0</v>
      </c>
      <c r="D33" s="207">
        <v>0</v>
      </c>
      <c r="E33" s="285">
        <v>0</v>
      </c>
    </row>
    <row r="34" spans="1:7" s="75" customFormat="1" ht="18.75" customHeight="1" x14ac:dyDescent="0.25">
      <c r="A34" s="195" t="s">
        <v>21</v>
      </c>
      <c r="B34" s="200">
        <f>SUM(B31,B25,B22)</f>
        <v>98399686</v>
      </c>
      <c r="C34" s="200">
        <f t="shared" ref="C34:D34" si="1">SUM(C31,C25,C22)</f>
        <v>104041129</v>
      </c>
      <c r="D34" s="200">
        <f t="shared" si="1"/>
        <v>36679080</v>
      </c>
      <c r="E34" s="288">
        <f>D34/C34*100</f>
        <v>35.254404053996765</v>
      </c>
    </row>
    <row r="35" spans="1:7" ht="18" customHeight="1" x14ac:dyDescent="0.25">
      <c r="A35" s="193" t="s">
        <v>22</v>
      </c>
      <c r="B35" s="192"/>
      <c r="C35" s="202"/>
      <c r="D35" s="202"/>
      <c r="E35" s="285"/>
    </row>
    <row r="36" spans="1:7" ht="34.5" customHeight="1" x14ac:dyDescent="0.25">
      <c r="A36" s="193" t="s">
        <v>213</v>
      </c>
      <c r="B36" s="192">
        <f>'5.sz.tábla '!B34</f>
        <v>1691641</v>
      </c>
      <c r="C36" s="192">
        <f>'5.sz.tábla '!C34</f>
        <v>1691641</v>
      </c>
      <c r="D36" s="192">
        <f>'5.sz.tábla '!D34</f>
        <v>1435226</v>
      </c>
      <c r="E36" s="285">
        <f>'5.sz.tábla '!E34</f>
        <v>84.842233074275214</v>
      </c>
    </row>
    <row r="37" spans="1:7" s="75" customFormat="1" ht="18.75" customHeight="1" x14ac:dyDescent="0.25">
      <c r="A37" s="195" t="s">
        <v>23</v>
      </c>
      <c r="B37" s="200">
        <f>SUM(B35:B36)</f>
        <v>1691641</v>
      </c>
      <c r="C37" s="200">
        <f>SUM(C35:C36)</f>
        <v>1691641</v>
      </c>
      <c r="D37" s="200">
        <f>SUM(D35:D36)</f>
        <v>1435226</v>
      </c>
      <c r="E37" s="288">
        <f>SUM(E35:E36)</f>
        <v>84.842233074275214</v>
      </c>
    </row>
    <row r="38" spans="1:7" s="75" customFormat="1" ht="21" customHeight="1" x14ac:dyDescent="0.25">
      <c r="A38" s="201" t="s">
        <v>24</v>
      </c>
      <c r="B38" s="188">
        <f>SUM(B34,B37)</f>
        <v>100091327</v>
      </c>
      <c r="C38" s="188">
        <f>SUM(C34,C37)</f>
        <v>105732770</v>
      </c>
      <c r="D38" s="188">
        <f>SUM(D34,D37)</f>
        <v>38114306</v>
      </c>
      <c r="E38" s="270">
        <f>D38/C38*100</f>
        <v>36.047770241903244</v>
      </c>
      <c r="G38" s="79"/>
    </row>
    <row r="39" spans="1:7" x14ac:dyDescent="0.25">
      <c r="A39" s="3"/>
      <c r="C39" s="3"/>
      <c r="D39" s="3"/>
    </row>
    <row r="40" spans="1:7" x14ac:dyDescent="0.25">
      <c r="A40" s="3"/>
      <c r="B40" s="82">
        <f>B19-B38</f>
        <v>0</v>
      </c>
      <c r="C40" s="82">
        <f>C19-C38</f>
        <v>0</v>
      </c>
      <c r="D40" s="82">
        <f>D19-D38</f>
        <v>47327592</v>
      </c>
      <c r="E40" s="82"/>
    </row>
    <row r="41" spans="1:7" x14ac:dyDescent="0.25">
      <c r="A41" s="3"/>
      <c r="C41" s="3"/>
      <c r="D41" s="3"/>
    </row>
    <row r="42" spans="1:7" x14ac:dyDescent="0.25">
      <c r="A42" s="3"/>
      <c r="C42" s="3"/>
      <c r="D42" s="3"/>
    </row>
    <row r="53" spans="8:8" ht="141.75" x14ac:dyDescent="0.25">
      <c r="H53" s="81" t="s">
        <v>318</v>
      </c>
    </row>
  </sheetData>
  <sheetProtection selectLockedCells="1" selectUnlockedCells="1"/>
  <mergeCells count="2">
    <mergeCell ref="A4:E4"/>
    <mergeCell ref="A20:E21"/>
  </mergeCells>
  <phoneticPr fontId="19" type="noConversion"/>
  <printOptions horizontalCentered="1"/>
  <pageMargins left="0.78740157480314965" right="0.60072916666666665" top="1.1023622047244095" bottom="0.98425196850393704" header="0.62992125984251968" footer="0.51181102362204722"/>
  <pageSetup paperSize="9" scale="73" firstPageNumber="0" orientation="portrait" r:id="rId1"/>
  <headerFooter alignWithMargins="0">
    <oddHeader>&amp;C&amp;"Times New Roman,Félkövér"&amp;12 1. melléklet 
Pécsely Község Önkormányzat 2018. évi gazdálkodásának I. félévi alakulásáról szóló tájékoztatóhoz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97"/>
  <sheetViews>
    <sheetView view="pageLayout" topLeftCell="A3" zoomScaleNormal="100" zoomScaleSheetLayoutView="89" workbookViewId="0">
      <selection activeCell="A3" sqref="A3:E3"/>
    </sheetView>
  </sheetViews>
  <sheetFormatPr defaultColWidth="9.140625" defaultRowHeight="15.75" x14ac:dyDescent="0.25"/>
  <cols>
    <col min="1" max="1" width="40.140625" style="53" customWidth="1"/>
    <col min="2" max="2" width="15.42578125" style="54" customWidth="1"/>
    <col min="3" max="4" width="15.42578125" style="52" customWidth="1"/>
    <col min="5" max="5" width="10" style="52" customWidth="1"/>
    <col min="6" max="6" width="15.5703125" style="53" bestFit="1" customWidth="1"/>
    <col min="7" max="7" width="0.28515625" style="53" customWidth="1"/>
    <col min="8" max="16384" width="9.140625" style="53"/>
  </cols>
  <sheetData>
    <row r="1" spans="1:11" hidden="1" x14ac:dyDescent="0.25">
      <c r="A1" s="5"/>
      <c r="B1" s="6"/>
      <c r="C1" s="100"/>
      <c r="D1" s="100"/>
      <c r="E1" s="100"/>
    </row>
    <row r="2" spans="1:11" hidden="1" x14ac:dyDescent="0.25">
      <c r="A2" s="5"/>
      <c r="B2" s="6"/>
      <c r="C2" s="100"/>
      <c r="D2" s="100"/>
      <c r="E2" s="100"/>
    </row>
    <row r="3" spans="1:11" s="55" customFormat="1" ht="37.5" customHeight="1" x14ac:dyDescent="0.25">
      <c r="A3" s="303" t="s">
        <v>319</v>
      </c>
      <c r="B3" s="303"/>
      <c r="C3" s="303"/>
      <c r="D3" s="303"/>
      <c r="E3" s="303"/>
    </row>
    <row r="4" spans="1:11" s="56" customFormat="1" ht="53.25" customHeight="1" x14ac:dyDescent="0.25">
      <c r="A4" s="206" t="s">
        <v>205</v>
      </c>
      <c r="B4" s="209" t="s">
        <v>345</v>
      </c>
      <c r="C4" s="190" t="s">
        <v>346</v>
      </c>
      <c r="D4" s="190" t="s">
        <v>359</v>
      </c>
      <c r="E4" s="190" t="s">
        <v>358</v>
      </c>
    </row>
    <row r="5" spans="1:11" s="56" customFormat="1" ht="31.5" x14ac:dyDescent="0.25">
      <c r="A5" s="191" t="s">
        <v>1</v>
      </c>
      <c r="B5" s="188">
        <f>B6+B14+B15+B16+B17+B18</f>
        <v>33655434</v>
      </c>
      <c r="C5" s="188">
        <f>C6+C14+C15+C16+C17+C18</f>
        <v>34003915</v>
      </c>
      <c r="D5" s="188">
        <f>D6+D14+D15+D16+D17+D18</f>
        <v>25436641</v>
      </c>
      <c r="E5" s="270">
        <f>D5/C5*100</f>
        <v>74.805036420071048</v>
      </c>
    </row>
    <row r="6" spans="1:11" s="58" customFormat="1" x14ac:dyDescent="0.25">
      <c r="A6" s="89" t="s">
        <v>25</v>
      </c>
      <c r="B6" s="71">
        <f>SUM(B7:B12)</f>
        <v>28291004</v>
      </c>
      <c r="C6" s="71">
        <f>SUM(C7:C12)</f>
        <v>28595751</v>
      </c>
      <c r="D6" s="71">
        <f>SUM(D7:D12)</f>
        <v>14933008</v>
      </c>
      <c r="E6" s="271">
        <f>D6/C6*100</f>
        <v>52.221072983884909</v>
      </c>
      <c r="F6" s="57"/>
    </row>
    <row r="7" spans="1:11" s="59" customFormat="1" ht="31.5" x14ac:dyDescent="0.25">
      <c r="A7" s="210" t="s">
        <v>315</v>
      </c>
      <c r="B7" s="182">
        <v>18803564</v>
      </c>
      <c r="C7" s="182">
        <v>18803564</v>
      </c>
      <c r="D7" s="182">
        <v>9777853</v>
      </c>
      <c r="E7" s="271">
        <f>D7/C7*100</f>
        <v>51.999998510920584</v>
      </c>
      <c r="F7" s="56"/>
      <c r="G7" s="56"/>
      <c r="H7" s="56"/>
      <c r="I7" s="56"/>
      <c r="J7" s="56"/>
      <c r="K7" s="56"/>
    </row>
    <row r="8" spans="1:11" s="58" customFormat="1" ht="31.5" x14ac:dyDescent="0.25">
      <c r="A8" s="211" t="s">
        <v>26</v>
      </c>
      <c r="B8" s="182">
        <v>0</v>
      </c>
      <c r="C8" s="71">
        <v>0</v>
      </c>
      <c r="D8" s="71">
        <v>0</v>
      </c>
      <c r="E8" s="271">
        <v>0</v>
      </c>
    </row>
    <row r="9" spans="1:11" s="58" customFormat="1" ht="31.5" x14ac:dyDescent="0.25">
      <c r="A9" s="93" t="s">
        <v>27</v>
      </c>
      <c r="B9" s="182">
        <v>7687440</v>
      </c>
      <c r="C9" s="182">
        <v>7731327</v>
      </c>
      <c r="D9" s="182">
        <v>4041355</v>
      </c>
      <c r="E9" s="271">
        <f t="shared" ref="E9:E12" si="0">D9/C9*100</f>
        <v>52.272462411692068</v>
      </c>
    </row>
    <row r="10" spans="1:11" s="58" customFormat="1" ht="31.5" x14ac:dyDescent="0.25">
      <c r="A10" s="93" t="s">
        <v>28</v>
      </c>
      <c r="B10" s="182">
        <v>1800000</v>
      </c>
      <c r="C10" s="182">
        <v>1800000</v>
      </c>
      <c r="D10" s="182">
        <v>936000</v>
      </c>
      <c r="E10" s="271">
        <f t="shared" si="0"/>
        <v>52</v>
      </c>
    </row>
    <row r="11" spans="1:11" s="56" customFormat="1" ht="50.25" customHeight="1" x14ac:dyDescent="0.25">
      <c r="A11" s="93" t="s">
        <v>349</v>
      </c>
      <c r="B11" s="71">
        <v>0</v>
      </c>
      <c r="C11" s="183">
        <v>177800</v>
      </c>
      <c r="D11" s="183">
        <v>177800</v>
      </c>
      <c r="E11" s="271">
        <f t="shared" si="0"/>
        <v>100</v>
      </c>
    </row>
    <row r="12" spans="1:11" s="56" customFormat="1" x14ac:dyDescent="0.25">
      <c r="A12" s="93" t="s">
        <v>0</v>
      </c>
      <c r="B12" s="71">
        <v>0</v>
      </c>
      <c r="C12" s="182">
        <v>83060</v>
      </c>
      <c r="D12" s="182">
        <v>0</v>
      </c>
      <c r="E12" s="271">
        <f t="shared" si="0"/>
        <v>0</v>
      </c>
    </row>
    <row r="13" spans="1:11" s="56" customFormat="1" x14ac:dyDescent="0.25">
      <c r="A13" s="93" t="s">
        <v>347</v>
      </c>
      <c r="B13" s="71"/>
      <c r="C13" s="212"/>
      <c r="D13" s="212"/>
      <c r="E13" s="272"/>
    </row>
    <row r="14" spans="1:11" s="56" customFormat="1" x14ac:dyDescent="0.25">
      <c r="A14" s="93" t="s">
        <v>210</v>
      </c>
      <c r="B14" s="71"/>
      <c r="C14" s="212"/>
      <c r="D14" s="212"/>
      <c r="E14" s="272"/>
    </row>
    <row r="15" spans="1:11" s="60" customFormat="1" ht="47.25" x14ac:dyDescent="0.25">
      <c r="A15" s="93" t="s">
        <v>29</v>
      </c>
      <c r="B15" s="71"/>
      <c r="C15" s="213"/>
      <c r="D15" s="213"/>
      <c r="E15" s="272"/>
    </row>
    <row r="16" spans="1:11" s="60" customFormat="1" ht="47.25" x14ac:dyDescent="0.25">
      <c r="A16" s="93" t="s">
        <v>30</v>
      </c>
      <c r="B16" s="71"/>
      <c r="C16" s="213"/>
      <c r="D16" s="213"/>
      <c r="E16" s="272"/>
    </row>
    <row r="17" spans="1:5" s="60" customFormat="1" ht="47.25" x14ac:dyDescent="0.25">
      <c r="A17" s="93" t="s">
        <v>31</v>
      </c>
      <c r="B17" s="71"/>
      <c r="C17" s="213"/>
      <c r="D17" s="213"/>
      <c r="E17" s="212"/>
    </row>
    <row r="18" spans="1:5" s="56" customFormat="1" ht="36.75" customHeight="1" x14ac:dyDescent="0.25">
      <c r="A18" s="93" t="s">
        <v>32</v>
      </c>
      <c r="B18" s="183">
        <v>5364430</v>
      </c>
      <c r="C18" s="183">
        <f>C19+43734</f>
        <v>5408164</v>
      </c>
      <c r="D18" s="183">
        <v>10503633</v>
      </c>
      <c r="E18" s="273">
        <f>D18/C18*100</f>
        <v>194.21809323829677</v>
      </c>
    </row>
    <row r="19" spans="1:5" s="72" customFormat="1" ht="31.5" x14ac:dyDescent="0.25">
      <c r="A19" s="184" t="s">
        <v>316</v>
      </c>
      <c r="B19" s="208">
        <v>5364430</v>
      </c>
      <c r="C19" s="182">
        <v>5364430</v>
      </c>
      <c r="D19" s="182">
        <v>2062700</v>
      </c>
      <c r="E19" s="273">
        <f>C19-B19</f>
        <v>0</v>
      </c>
    </row>
    <row r="20" spans="1:5" s="72" customFormat="1" x14ac:dyDescent="0.25">
      <c r="A20" s="184" t="s">
        <v>328</v>
      </c>
      <c r="B20" s="182">
        <v>0</v>
      </c>
      <c r="C20" s="182">
        <v>0</v>
      </c>
      <c r="D20" s="182">
        <v>0</v>
      </c>
      <c r="E20" s="274">
        <v>0</v>
      </c>
    </row>
    <row r="21" spans="1:5" s="56" customFormat="1" ht="39" customHeight="1" x14ac:dyDescent="0.25">
      <c r="A21" s="191" t="s">
        <v>2</v>
      </c>
      <c r="B21" s="188">
        <f>B22+B27+B28+B29+B30</f>
        <v>0</v>
      </c>
      <c r="C21" s="188">
        <f>C22+C27+C28+C29+C30</f>
        <v>0</v>
      </c>
      <c r="D21" s="188">
        <f>D22+D27+D28+D29+D30</f>
        <v>0</v>
      </c>
      <c r="E21" s="270">
        <f>E22+E27+E28+E29+E30</f>
        <v>0</v>
      </c>
    </row>
    <row r="22" spans="1:5" s="56" customFormat="1" ht="31.5" x14ac:dyDescent="0.25">
      <c r="A22" s="93" t="s">
        <v>33</v>
      </c>
      <c r="B22" s="182">
        <v>0</v>
      </c>
      <c r="C22" s="182">
        <v>0</v>
      </c>
      <c r="D22" s="182">
        <v>0</v>
      </c>
      <c r="E22" s="274">
        <v>0</v>
      </c>
    </row>
    <row r="23" spans="1:5" s="56" customFormat="1" ht="31.5" x14ac:dyDescent="0.25">
      <c r="A23" s="93" t="s">
        <v>34</v>
      </c>
      <c r="B23" s="68"/>
      <c r="C23" s="214"/>
      <c r="D23" s="214"/>
      <c r="E23" s="275"/>
    </row>
    <row r="24" spans="1:5" s="56" customFormat="1" x14ac:dyDescent="0.25">
      <c r="A24" s="93" t="s">
        <v>86</v>
      </c>
      <c r="B24" s="68"/>
      <c r="C24" s="214"/>
      <c r="D24" s="214"/>
      <c r="E24" s="214"/>
    </row>
    <row r="25" spans="1:5" s="56" customFormat="1" x14ac:dyDescent="0.25">
      <c r="A25" s="93" t="s">
        <v>311</v>
      </c>
      <c r="B25" s="68"/>
      <c r="C25" s="214"/>
      <c r="D25" s="214"/>
      <c r="E25" s="214"/>
    </row>
    <row r="26" spans="1:5" s="56" customFormat="1" x14ac:dyDescent="0.25">
      <c r="A26" s="93" t="s">
        <v>310</v>
      </c>
      <c r="B26" s="68"/>
      <c r="C26" s="214"/>
      <c r="D26" s="214"/>
      <c r="E26" s="214"/>
    </row>
    <row r="27" spans="1:5" s="56" customFormat="1" ht="47.25" x14ac:dyDescent="0.25">
      <c r="A27" s="93" t="s">
        <v>35</v>
      </c>
      <c r="B27" s="68"/>
      <c r="C27" s="214"/>
      <c r="D27" s="214"/>
      <c r="E27" s="214"/>
    </row>
    <row r="28" spans="1:5" s="56" customFormat="1" ht="48" customHeight="1" x14ac:dyDescent="0.25">
      <c r="A28" s="93" t="s">
        <v>36</v>
      </c>
      <c r="B28" s="68"/>
      <c r="C28" s="214"/>
      <c r="D28" s="214"/>
      <c r="E28" s="214"/>
    </row>
    <row r="29" spans="1:5" s="56" customFormat="1" ht="51.75" customHeight="1" x14ac:dyDescent="0.25">
      <c r="A29" s="93" t="s">
        <v>37</v>
      </c>
      <c r="B29" s="68"/>
      <c r="C29" s="214"/>
      <c r="D29" s="214"/>
      <c r="E29" s="214"/>
    </row>
    <row r="30" spans="1:5" s="56" customFormat="1" ht="31.5" x14ac:dyDescent="0.25">
      <c r="A30" s="93" t="s">
        <v>211</v>
      </c>
      <c r="B30" s="68"/>
      <c r="C30" s="214"/>
      <c r="D30" s="214"/>
      <c r="E30" s="214"/>
    </row>
    <row r="31" spans="1:5" s="56" customFormat="1" ht="27" customHeight="1" x14ac:dyDescent="0.25">
      <c r="A31" s="215"/>
      <c r="B31" s="206"/>
      <c r="C31" s="214"/>
      <c r="D31" s="214"/>
      <c r="E31" s="214"/>
    </row>
    <row r="32" spans="1:5" s="56" customFormat="1" ht="54" customHeight="1" x14ac:dyDescent="0.25">
      <c r="A32" s="206" t="s">
        <v>205</v>
      </c>
      <c r="B32" s="209" t="s">
        <v>345</v>
      </c>
      <c r="C32" s="209" t="s">
        <v>346</v>
      </c>
      <c r="D32" s="209" t="s">
        <v>359</v>
      </c>
      <c r="E32" s="209" t="s">
        <v>358</v>
      </c>
    </row>
    <row r="33" spans="1:5" s="56" customFormat="1" x14ac:dyDescent="0.25">
      <c r="A33" s="191" t="s">
        <v>3</v>
      </c>
      <c r="B33" s="7">
        <f>B34+B38+B46</f>
        <v>20250000</v>
      </c>
      <c r="C33" s="7">
        <f>C34+C38+C46</f>
        <v>20250000</v>
      </c>
      <c r="D33" s="7">
        <f>D34+D38+D46</f>
        <v>11607518</v>
      </c>
      <c r="E33" s="276">
        <f>D33/C33*100</f>
        <v>57.321076543209884</v>
      </c>
    </row>
    <row r="34" spans="1:5" s="56" customFormat="1" x14ac:dyDescent="0.25">
      <c r="A34" s="93" t="s">
        <v>38</v>
      </c>
      <c r="B34" s="68">
        <f>SUM(B35:B37)</f>
        <v>10000000</v>
      </c>
      <c r="C34" s="68">
        <f>SUM(C35:C37)</f>
        <v>10000000</v>
      </c>
      <c r="D34" s="68">
        <f>SUM(D35:D37)</f>
        <v>5566721</v>
      </c>
      <c r="E34" s="277">
        <f>D34/C34*100</f>
        <v>55.667209999999997</v>
      </c>
    </row>
    <row r="35" spans="1:5" s="56" customFormat="1" x14ac:dyDescent="0.25">
      <c r="A35" s="89" t="s">
        <v>39</v>
      </c>
      <c r="B35" s="68">
        <v>0</v>
      </c>
      <c r="C35" s="68">
        <v>0</v>
      </c>
      <c r="D35" s="68">
        <v>0</v>
      </c>
      <c r="E35" s="277">
        <v>0</v>
      </c>
    </row>
    <row r="36" spans="1:5" s="56" customFormat="1" x14ac:dyDescent="0.25">
      <c r="A36" s="89" t="s">
        <v>40</v>
      </c>
      <c r="B36" s="68">
        <v>200000</v>
      </c>
      <c r="C36" s="68">
        <v>200000</v>
      </c>
      <c r="D36" s="68">
        <v>149229</v>
      </c>
      <c r="E36" s="277">
        <f t="shared" ref="E36:E46" si="1">D36/C36*100</f>
        <v>74.614499999999992</v>
      </c>
    </row>
    <row r="37" spans="1:5" s="56" customFormat="1" ht="31.5" x14ac:dyDescent="0.25">
      <c r="A37" s="216" t="s">
        <v>339</v>
      </c>
      <c r="B37" s="217">
        <v>9800000</v>
      </c>
      <c r="C37" s="68">
        <v>9800000</v>
      </c>
      <c r="D37" s="68">
        <v>5417492</v>
      </c>
      <c r="E37" s="277">
        <f t="shared" si="1"/>
        <v>55.280530612244895</v>
      </c>
    </row>
    <row r="38" spans="1:5" s="56" customFormat="1" ht="27" customHeight="1" x14ac:dyDescent="0.25">
      <c r="A38" s="93" t="s">
        <v>41</v>
      </c>
      <c r="B38" s="68">
        <f>B39+B41+B42</f>
        <v>10000000</v>
      </c>
      <c r="C38" s="68">
        <f>C39+C41+C42</f>
        <v>10000000</v>
      </c>
      <c r="D38" s="68">
        <f>D39+D41+D42</f>
        <v>6038957</v>
      </c>
      <c r="E38" s="277">
        <f t="shared" si="1"/>
        <v>60.389570000000006</v>
      </c>
    </row>
    <row r="39" spans="1:5" s="56" customFormat="1" ht="25.5" customHeight="1" x14ac:dyDescent="0.25">
      <c r="A39" s="93" t="s">
        <v>42</v>
      </c>
      <c r="B39" s="68">
        <f>SUM(B40)</f>
        <v>8200000</v>
      </c>
      <c r="C39" s="68">
        <f>SUM(C40)</f>
        <v>8200000</v>
      </c>
      <c r="D39" s="68">
        <f>SUM(D40)</f>
        <v>4870252</v>
      </c>
      <c r="E39" s="277">
        <f t="shared" si="1"/>
        <v>59.393317073170735</v>
      </c>
    </row>
    <row r="40" spans="1:5" s="56" customFormat="1" x14ac:dyDescent="0.25">
      <c r="A40" s="93" t="s">
        <v>43</v>
      </c>
      <c r="B40" s="68">
        <v>8200000</v>
      </c>
      <c r="C40" s="68">
        <v>8200000</v>
      </c>
      <c r="D40" s="68">
        <v>4870252</v>
      </c>
      <c r="E40" s="277">
        <f t="shared" si="1"/>
        <v>59.393317073170735</v>
      </c>
    </row>
    <row r="41" spans="1:5" s="56" customFormat="1" x14ac:dyDescent="0.25">
      <c r="A41" s="93" t="s">
        <v>44</v>
      </c>
      <c r="B41" s="68">
        <v>1500000</v>
      </c>
      <c r="C41" s="68">
        <v>1500000</v>
      </c>
      <c r="D41" s="68">
        <v>1047905</v>
      </c>
      <c r="E41" s="277">
        <f t="shared" si="1"/>
        <v>69.86033333333333</v>
      </c>
    </row>
    <row r="42" spans="1:5" s="56" customFormat="1" ht="31.5" x14ac:dyDescent="0.25">
      <c r="A42" s="93" t="s">
        <v>45</v>
      </c>
      <c r="B42" s="68">
        <f>SUM(B43:B45)</f>
        <v>300000</v>
      </c>
      <c r="C42" s="68">
        <f>SUM(C43:C45)</f>
        <v>300000</v>
      </c>
      <c r="D42" s="68">
        <f>SUM(D43:D45)</f>
        <v>120800</v>
      </c>
      <c r="E42" s="277">
        <f t="shared" si="1"/>
        <v>40.266666666666666</v>
      </c>
    </row>
    <row r="43" spans="1:5" s="56" customFormat="1" x14ac:dyDescent="0.25">
      <c r="A43" s="93" t="s">
        <v>46</v>
      </c>
      <c r="B43" s="68">
        <v>300000</v>
      </c>
      <c r="C43" s="68">
        <v>300000</v>
      </c>
      <c r="D43" s="68">
        <v>120800</v>
      </c>
      <c r="E43" s="277">
        <f t="shared" si="1"/>
        <v>40.266666666666666</v>
      </c>
    </row>
    <row r="44" spans="1:5" s="56" customFormat="1" x14ac:dyDescent="0.25">
      <c r="A44" s="93" t="s">
        <v>47</v>
      </c>
      <c r="B44" s="68">
        <v>0</v>
      </c>
      <c r="C44" s="68">
        <v>0</v>
      </c>
      <c r="D44" s="68">
        <v>0</v>
      </c>
      <c r="E44" s="277">
        <v>0</v>
      </c>
    </row>
    <row r="45" spans="1:5" s="56" customFormat="1" x14ac:dyDescent="0.25">
      <c r="A45" s="93" t="s">
        <v>206</v>
      </c>
      <c r="B45" s="68">
        <v>0</v>
      </c>
      <c r="C45" s="68">
        <v>0</v>
      </c>
      <c r="D45" s="68">
        <v>0</v>
      </c>
      <c r="E45" s="277">
        <v>0</v>
      </c>
    </row>
    <row r="46" spans="1:5" s="56" customFormat="1" ht="31.5" x14ac:dyDescent="0.25">
      <c r="A46" s="93" t="s">
        <v>340</v>
      </c>
      <c r="B46" s="68">
        <v>250000</v>
      </c>
      <c r="C46" s="68">
        <v>250000</v>
      </c>
      <c r="D46" s="68">
        <v>1840</v>
      </c>
      <c r="E46" s="277">
        <f t="shared" si="1"/>
        <v>0.73599999999999999</v>
      </c>
    </row>
    <row r="47" spans="1:5" s="61" customFormat="1" ht="27" customHeight="1" x14ac:dyDescent="0.2">
      <c r="A47" s="218" t="s">
        <v>4</v>
      </c>
      <c r="B47" s="188">
        <f t="shared" ref="B47:D47" si="2">B48+B49+B51+B52+B55+B56+B57+B58+B59</f>
        <v>7100000</v>
      </c>
      <c r="C47" s="188">
        <f t="shared" si="2"/>
        <v>7862520</v>
      </c>
      <c r="D47" s="188">
        <f t="shared" si="2"/>
        <v>5022049</v>
      </c>
      <c r="E47" s="270">
        <f>D47/C47*100</f>
        <v>63.873274726169214</v>
      </c>
    </row>
    <row r="48" spans="1:5" s="62" customFormat="1" x14ac:dyDescent="0.25">
      <c r="A48" s="89" t="s">
        <v>48</v>
      </c>
      <c r="B48" s="68"/>
      <c r="C48" s="219"/>
      <c r="D48" s="219"/>
      <c r="E48" s="278"/>
    </row>
    <row r="49" spans="1:5" s="64" customFormat="1" x14ac:dyDescent="0.25">
      <c r="A49" s="89" t="s">
        <v>49</v>
      </c>
      <c r="B49" s="71">
        <v>0</v>
      </c>
      <c r="C49" s="71">
        <v>720000</v>
      </c>
      <c r="D49" s="71">
        <v>395874</v>
      </c>
      <c r="E49" s="271">
        <f>D49/C49*100</f>
        <v>54.982500000000002</v>
      </c>
    </row>
    <row r="50" spans="1:5" s="64" customFormat="1" x14ac:dyDescent="0.25">
      <c r="A50" s="89" t="s">
        <v>87</v>
      </c>
      <c r="B50" s="71">
        <v>720000</v>
      </c>
      <c r="C50" s="71">
        <v>720000</v>
      </c>
      <c r="D50" s="71">
        <v>385000</v>
      </c>
      <c r="E50" s="271">
        <f t="shared" ref="E50:E58" si="3">D50/C50*100</f>
        <v>53.472222222222221</v>
      </c>
    </row>
    <row r="51" spans="1:5" s="64" customFormat="1" x14ac:dyDescent="0.25">
      <c r="A51" s="93" t="s">
        <v>50</v>
      </c>
      <c r="B51" s="71">
        <v>2500000</v>
      </c>
      <c r="C51" s="71">
        <v>2500000</v>
      </c>
      <c r="D51" s="71">
        <v>1896449</v>
      </c>
      <c r="E51" s="271">
        <f t="shared" si="3"/>
        <v>75.857960000000006</v>
      </c>
    </row>
    <row r="52" spans="1:5" s="64" customFormat="1" x14ac:dyDescent="0.25">
      <c r="A52" s="93" t="s">
        <v>51</v>
      </c>
      <c r="B52" s="71">
        <v>3000000</v>
      </c>
      <c r="C52" s="71">
        <v>3000000</v>
      </c>
      <c r="D52" s="71">
        <v>1299885</v>
      </c>
      <c r="E52" s="271">
        <f t="shared" si="3"/>
        <v>43.329499999999996</v>
      </c>
    </row>
    <row r="53" spans="1:5" s="64" customFormat="1" ht="24.75" customHeight="1" x14ac:dyDescent="0.25">
      <c r="A53" s="220" t="s">
        <v>52</v>
      </c>
      <c r="B53" s="71"/>
      <c r="C53" s="71"/>
      <c r="D53" s="71"/>
      <c r="E53" s="271"/>
    </row>
    <row r="54" spans="1:5" s="64" customFormat="1" x14ac:dyDescent="0.25">
      <c r="A54" s="220" t="s">
        <v>53</v>
      </c>
      <c r="B54" s="71"/>
      <c r="C54" s="71"/>
      <c r="D54" s="71"/>
      <c r="E54" s="271"/>
    </row>
    <row r="55" spans="1:5" s="64" customFormat="1" ht="24.75" customHeight="1" x14ac:dyDescent="0.25">
      <c r="A55" s="220" t="s">
        <v>54</v>
      </c>
      <c r="B55" s="71">
        <v>500000</v>
      </c>
      <c r="C55" s="71">
        <v>500000</v>
      </c>
      <c r="D55" s="71">
        <v>248738</v>
      </c>
      <c r="E55" s="271">
        <f t="shared" si="3"/>
        <v>49.747599999999998</v>
      </c>
    </row>
    <row r="56" spans="1:5" s="64" customFormat="1" ht="24" customHeight="1" x14ac:dyDescent="0.25">
      <c r="A56" s="89" t="s">
        <v>55</v>
      </c>
      <c r="B56" s="71">
        <v>1050000</v>
      </c>
      <c r="C56" s="71">
        <f>1050000+42520</f>
        <v>1092520</v>
      </c>
      <c r="D56" s="71">
        <v>1107652</v>
      </c>
      <c r="E56" s="271">
        <f t="shared" si="3"/>
        <v>101.38505473584007</v>
      </c>
    </row>
    <row r="57" spans="1:5" s="64" customFormat="1" ht="24" customHeight="1" x14ac:dyDescent="0.25">
      <c r="A57" s="89" t="s">
        <v>56</v>
      </c>
      <c r="B57" s="71"/>
      <c r="C57" s="71"/>
      <c r="D57" s="71"/>
      <c r="E57" s="271"/>
    </row>
    <row r="58" spans="1:5" s="64" customFormat="1" x14ac:dyDescent="0.25">
      <c r="A58" s="89" t="s">
        <v>57</v>
      </c>
      <c r="B58" s="71">
        <v>50000</v>
      </c>
      <c r="C58" s="71">
        <v>50000</v>
      </c>
      <c r="D58" s="71">
        <v>2256</v>
      </c>
      <c r="E58" s="271">
        <f t="shared" si="3"/>
        <v>4.5120000000000005</v>
      </c>
    </row>
    <row r="59" spans="1:5" s="64" customFormat="1" ht="35.25" customHeight="1" x14ac:dyDescent="0.25">
      <c r="A59" s="220" t="s">
        <v>360</v>
      </c>
      <c r="B59" s="71">
        <v>0</v>
      </c>
      <c r="C59" s="71">
        <v>0</v>
      </c>
      <c r="D59" s="71">
        <v>71195</v>
      </c>
      <c r="E59" s="271">
        <v>0</v>
      </c>
    </row>
    <row r="60" spans="1:5" s="61" customFormat="1" ht="24.75" customHeight="1" x14ac:dyDescent="0.2">
      <c r="A60" s="218" t="s">
        <v>5</v>
      </c>
      <c r="B60" s="188">
        <f>SUM(B61:B65)</f>
        <v>0</v>
      </c>
      <c r="C60" s="188">
        <f>SUM(C61:C65)</f>
        <v>177480</v>
      </c>
      <c r="D60" s="188">
        <f>SUM(D61:D65)</f>
        <v>177480</v>
      </c>
      <c r="E60" s="270">
        <f>D60/C60*100</f>
        <v>100</v>
      </c>
    </row>
    <row r="61" spans="1:5" s="61" customFormat="1" x14ac:dyDescent="0.25">
      <c r="A61" s="93" t="s">
        <v>58</v>
      </c>
      <c r="B61" s="68"/>
      <c r="C61" s="212"/>
      <c r="D61" s="212"/>
      <c r="E61" s="272"/>
    </row>
    <row r="62" spans="1:5" s="64" customFormat="1" ht="31.5" x14ac:dyDescent="0.25">
      <c r="A62" s="93" t="s">
        <v>353</v>
      </c>
      <c r="B62" s="68"/>
      <c r="C62" s="71">
        <v>20000</v>
      </c>
      <c r="D62" s="71">
        <v>20000</v>
      </c>
      <c r="E62" s="271">
        <f>D62/C62*100</f>
        <v>100</v>
      </c>
    </row>
    <row r="63" spans="1:5" s="64" customFormat="1" ht="31.5" x14ac:dyDescent="0.25">
      <c r="A63" s="221" t="s">
        <v>350</v>
      </c>
      <c r="B63" s="68"/>
      <c r="C63" s="71">
        <v>157480</v>
      </c>
      <c r="D63" s="71">
        <v>157480</v>
      </c>
      <c r="E63" s="271">
        <f>D63/C63*100</f>
        <v>100</v>
      </c>
    </row>
    <row r="64" spans="1:5" s="64" customFormat="1" x14ac:dyDescent="0.25">
      <c r="A64" s="93" t="s">
        <v>59</v>
      </c>
      <c r="B64" s="68"/>
      <c r="C64" s="63"/>
      <c r="D64" s="63"/>
      <c r="E64" s="279"/>
    </row>
    <row r="65" spans="1:6" s="64" customFormat="1" ht="31.5" x14ac:dyDescent="0.25">
      <c r="A65" s="93" t="s">
        <v>60</v>
      </c>
      <c r="B65" s="68"/>
      <c r="C65" s="63"/>
      <c r="D65" s="63"/>
      <c r="E65" s="279"/>
    </row>
    <row r="66" spans="1:6" s="61" customFormat="1" ht="40.5" customHeight="1" x14ac:dyDescent="0.2">
      <c r="A66" s="218" t="s">
        <v>6</v>
      </c>
      <c r="B66" s="188">
        <f>SUM(B67:B69)</f>
        <v>0</v>
      </c>
      <c r="C66" s="188">
        <v>0</v>
      </c>
      <c r="D66" s="188">
        <v>0</v>
      </c>
      <c r="E66" s="270">
        <v>0</v>
      </c>
    </row>
    <row r="67" spans="1:6" s="61" customFormat="1" ht="47.25" x14ac:dyDescent="0.25">
      <c r="A67" s="93" t="s">
        <v>61</v>
      </c>
      <c r="B67" s="68"/>
      <c r="C67" s="212"/>
      <c r="D67" s="212"/>
      <c r="E67" s="272"/>
    </row>
    <row r="68" spans="1:6" s="64" customFormat="1" ht="47.25" x14ac:dyDescent="0.25">
      <c r="A68" s="93" t="s">
        <v>62</v>
      </c>
      <c r="B68" s="68"/>
      <c r="C68" s="63"/>
      <c r="D68" s="63"/>
      <c r="E68" s="279"/>
    </row>
    <row r="69" spans="1:6" s="64" customFormat="1" ht="31.5" x14ac:dyDescent="0.25">
      <c r="A69" s="93" t="s">
        <v>63</v>
      </c>
      <c r="B69" s="68"/>
      <c r="C69" s="63"/>
      <c r="D69" s="63"/>
      <c r="E69" s="279"/>
    </row>
    <row r="70" spans="1:6" s="64" customFormat="1" ht="28.5" customHeight="1" x14ac:dyDescent="0.2">
      <c r="A70" s="206"/>
      <c r="B70" s="206"/>
      <c r="C70" s="63"/>
      <c r="D70" s="63"/>
      <c r="E70" s="279"/>
    </row>
    <row r="71" spans="1:6" s="56" customFormat="1" ht="54.75" customHeight="1" x14ac:dyDescent="0.25">
      <c r="A71" s="206" t="s">
        <v>205</v>
      </c>
      <c r="B71" s="209" t="s">
        <v>345</v>
      </c>
      <c r="C71" s="190" t="s">
        <v>346</v>
      </c>
      <c r="D71" s="190" t="s">
        <v>359</v>
      </c>
      <c r="E71" s="280" t="s">
        <v>358</v>
      </c>
    </row>
    <row r="72" spans="1:6" s="61" customFormat="1" ht="31.5" x14ac:dyDescent="0.2">
      <c r="A72" s="222" t="s">
        <v>7</v>
      </c>
      <c r="B72" s="188">
        <f>SUM(B73:B75)</f>
        <v>0</v>
      </c>
      <c r="C72" s="188">
        <f>SUM(C73:C75)</f>
        <v>0</v>
      </c>
      <c r="D72" s="188">
        <f>SUM(D73:D75)</f>
        <v>0</v>
      </c>
      <c r="E72" s="270">
        <v>0</v>
      </c>
    </row>
    <row r="73" spans="1:6" s="64" customFormat="1" ht="72" customHeight="1" x14ac:dyDescent="0.2">
      <c r="A73" s="194" t="s">
        <v>64</v>
      </c>
      <c r="B73" s="71"/>
      <c r="C73" s="63"/>
      <c r="D73" s="63"/>
      <c r="E73" s="279"/>
    </row>
    <row r="74" spans="1:6" s="64" customFormat="1" ht="68.25" customHeight="1" x14ac:dyDescent="0.2">
      <c r="A74" s="194" t="s">
        <v>65</v>
      </c>
      <c r="B74" s="71"/>
      <c r="C74" s="63"/>
      <c r="D74" s="63"/>
      <c r="E74" s="279"/>
    </row>
    <row r="75" spans="1:6" s="64" customFormat="1" ht="31.5" customHeight="1" x14ac:dyDescent="0.2">
      <c r="A75" s="194" t="s">
        <v>66</v>
      </c>
      <c r="B75" s="71"/>
      <c r="C75" s="63"/>
      <c r="D75" s="63"/>
      <c r="E75" s="279"/>
    </row>
    <row r="76" spans="1:6" s="64" customFormat="1" ht="33" customHeight="1" x14ac:dyDescent="0.2">
      <c r="A76" s="194" t="s">
        <v>312</v>
      </c>
      <c r="B76" s="71"/>
      <c r="C76" s="63"/>
      <c r="D76" s="63"/>
      <c r="E76" s="279"/>
    </row>
    <row r="77" spans="1:6" s="61" customFormat="1" ht="30.75" customHeight="1" x14ac:dyDescent="0.2">
      <c r="A77" s="218" t="s">
        <v>8</v>
      </c>
      <c r="B77" s="188">
        <f>B72+B66+B60+B47+B33+B21+B5</f>
        <v>61005434</v>
      </c>
      <c r="C77" s="188">
        <f>C72+C66+C60+C47+C33+C21+C5</f>
        <v>62293915</v>
      </c>
      <c r="D77" s="188">
        <f>D72+D66+D60+D47+D33+D21+D5</f>
        <v>42243688</v>
      </c>
      <c r="E77" s="270">
        <f>D77/C77*100</f>
        <v>67.81350634327606</v>
      </c>
      <c r="F77" s="65"/>
    </row>
    <row r="78" spans="1:6" s="61" customFormat="1" ht="33" customHeight="1" x14ac:dyDescent="0.2">
      <c r="A78" s="222" t="s">
        <v>9</v>
      </c>
      <c r="B78" s="188"/>
      <c r="C78" s="212"/>
      <c r="D78" s="212"/>
      <c r="E78" s="272"/>
      <c r="F78" s="65"/>
    </row>
    <row r="79" spans="1:6" s="61" customFormat="1" ht="46.5" customHeight="1" x14ac:dyDescent="0.2">
      <c r="A79" s="222" t="s">
        <v>67</v>
      </c>
      <c r="B79" s="188">
        <f>SUM(B80:B81)</f>
        <v>38541663</v>
      </c>
      <c r="C79" s="188">
        <f>SUM(C80:C81)</f>
        <v>42894625</v>
      </c>
      <c r="D79" s="188">
        <f>SUM(D80:D81)</f>
        <v>42894625</v>
      </c>
      <c r="E79" s="270">
        <f>D79/C79*100</f>
        <v>100</v>
      </c>
    </row>
    <row r="80" spans="1:6" s="64" customFormat="1" ht="60.75" customHeight="1" x14ac:dyDescent="0.2">
      <c r="A80" s="219" t="s">
        <v>314</v>
      </c>
      <c r="B80" s="71">
        <v>19500000</v>
      </c>
      <c r="C80" s="71">
        <f>42894625-19041663</f>
        <v>23852962</v>
      </c>
      <c r="D80" s="71">
        <v>23852962</v>
      </c>
      <c r="E80" s="271">
        <f>D80/C80*100</f>
        <v>100</v>
      </c>
    </row>
    <row r="81" spans="1:6" s="64" customFormat="1" ht="47.25" x14ac:dyDescent="0.2">
      <c r="A81" s="219" t="s">
        <v>68</v>
      </c>
      <c r="B81" s="71">
        <f>12738922+6302741</f>
        <v>19041663</v>
      </c>
      <c r="C81" s="71">
        <v>19041663</v>
      </c>
      <c r="D81" s="71">
        <v>19041663</v>
      </c>
      <c r="E81" s="271">
        <f>D81/C81*100</f>
        <v>100</v>
      </c>
    </row>
    <row r="82" spans="1:6" s="61" customFormat="1" ht="47.25" x14ac:dyDescent="0.2">
      <c r="A82" s="222" t="s">
        <v>69</v>
      </c>
      <c r="B82" s="188">
        <f>B83+B87+B92+B93</f>
        <v>544230</v>
      </c>
      <c r="C82" s="188">
        <f>C83+C87+C92+C93</f>
        <v>544230</v>
      </c>
      <c r="D82" s="188">
        <f>D83+D87+D92+D93</f>
        <v>303585</v>
      </c>
      <c r="E82" s="270">
        <f>D82/C82*100</f>
        <v>55.782481671352194</v>
      </c>
      <c r="F82" s="65"/>
    </row>
    <row r="83" spans="1:6" s="61" customFormat="1" ht="31.5" x14ac:dyDescent="0.2">
      <c r="A83" s="218" t="s">
        <v>274</v>
      </c>
      <c r="B83" s="188"/>
      <c r="C83" s="223"/>
      <c r="D83" s="223"/>
      <c r="E83" s="272"/>
    </row>
    <row r="84" spans="1:6" s="64" customFormat="1" ht="31.5" x14ac:dyDescent="0.2">
      <c r="A84" s="194" t="s">
        <v>275</v>
      </c>
      <c r="B84" s="71"/>
      <c r="C84" s="223"/>
      <c r="D84" s="223"/>
      <c r="E84" s="279"/>
    </row>
    <row r="85" spans="1:6" s="64" customFormat="1" ht="31.5" x14ac:dyDescent="0.2">
      <c r="A85" s="194" t="s">
        <v>276</v>
      </c>
      <c r="B85" s="71"/>
      <c r="C85" s="223"/>
      <c r="D85" s="223"/>
      <c r="E85" s="279"/>
    </row>
    <row r="86" spans="1:6" s="64" customFormat="1" ht="31.5" x14ac:dyDescent="0.2">
      <c r="A86" s="194" t="s">
        <v>277</v>
      </c>
      <c r="B86" s="71"/>
      <c r="C86" s="223"/>
      <c r="D86" s="223"/>
      <c r="E86" s="279"/>
      <c r="F86" s="66"/>
    </row>
    <row r="87" spans="1:6" s="61" customFormat="1" x14ac:dyDescent="0.2">
      <c r="A87" s="218" t="s">
        <v>278</v>
      </c>
      <c r="B87" s="188"/>
      <c r="C87" s="212"/>
      <c r="D87" s="212"/>
      <c r="E87" s="272"/>
    </row>
    <row r="88" spans="1:6" s="64" customFormat="1" ht="31.5" x14ac:dyDescent="0.2">
      <c r="A88" s="224" t="s">
        <v>279</v>
      </c>
      <c r="B88" s="71"/>
      <c r="C88" s="63"/>
      <c r="D88" s="63"/>
      <c r="E88" s="279"/>
    </row>
    <row r="89" spans="1:6" s="64" customFormat="1" ht="31.5" x14ac:dyDescent="0.2">
      <c r="A89" s="224" t="s">
        <v>280</v>
      </c>
      <c r="B89" s="71"/>
      <c r="C89" s="63"/>
      <c r="D89" s="63"/>
      <c r="E89" s="279"/>
    </row>
    <row r="90" spans="1:6" s="61" customFormat="1" ht="31.5" x14ac:dyDescent="0.2">
      <c r="A90" s="224" t="s">
        <v>281</v>
      </c>
      <c r="B90" s="71"/>
      <c r="C90" s="212"/>
      <c r="D90" s="212"/>
      <c r="E90" s="272"/>
    </row>
    <row r="91" spans="1:6" s="61" customFormat="1" ht="31.5" x14ac:dyDescent="0.2">
      <c r="A91" s="224" t="s">
        <v>282</v>
      </c>
      <c r="B91" s="71"/>
      <c r="C91" s="212"/>
      <c r="D91" s="212"/>
      <c r="E91" s="272"/>
    </row>
    <row r="92" spans="1:6" s="61" customFormat="1" x14ac:dyDescent="0.2">
      <c r="A92" s="218" t="s">
        <v>283</v>
      </c>
      <c r="B92" s="188">
        <v>0</v>
      </c>
      <c r="C92" s="188">
        <v>0</v>
      </c>
      <c r="D92" s="188">
        <v>0</v>
      </c>
      <c r="E92" s="270">
        <v>0</v>
      </c>
      <c r="F92" s="67"/>
    </row>
    <row r="93" spans="1:6" s="61" customFormat="1" ht="31.5" x14ac:dyDescent="0.2">
      <c r="A93" s="218" t="s">
        <v>284</v>
      </c>
      <c r="B93" s="188">
        <v>544230</v>
      </c>
      <c r="C93" s="188">
        <v>544230</v>
      </c>
      <c r="D93" s="188">
        <v>303585</v>
      </c>
      <c r="E93" s="270">
        <f>D93/C93*100</f>
        <v>55.782481671352194</v>
      </c>
    </row>
    <row r="94" spans="1:6" s="61" customFormat="1" x14ac:dyDescent="0.2">
      <c r="A94" s="218" t="s">
        <v>70</v>
      </c>
      <c r="B94" s="188">
        <f>B82+B79</f>
        <v>39085893</v>
      </c>
      <c r="C94" s="188">
        <f>C82+C79</f>
        <v>43438855</v>
      </c>
      <c r="D94" s="188">
        <f>D82+D79</f>
        <v>43198210</v>
      </c>
      <c r="E94" s="270">
        <f>D94/C94*100</f>
        <v>99.44601440346436</v>
      </c>
    </row>
    <row r="95" spans="1:6" s="61" customFormat="1" ht="18.75" customHeight="1" x14ac:dyDescent="0.2">
      <c r="A95" s="218" t="s">
        <v>71</v>
      </c>
      <c r="B95" s="188">
        <f>B77+B94</f>
        <v>100091327</v>
      </c>
      <c r="C95" s="188">
        <f>C77+C94</f>
        <v>105732770</v>
      </c>
      <c r="D95" s="188">
        <f>D77+D94</f>
        <v>85441898</v>
      </c>
      <c r="E95" s="270">
        <f>D95/C95</f>
        <v>0.8080928741392096</v>
      </c>
    </row>
    <row r="96" spans="1:6" x14ac:dyDescent="0.25">
      <c r="A96" s="69" t="s">
        <v>212</v>
      </c>
      <c r="B96" s="70">
        <v>8</v>
      </c>
      <c r="C96" s="70">
        <v>8</v>
      </c>
      <c r="D96" s="70">
        <v>8</v>
      </c>
      <c r="E96" s="69"/>
    </row>
    <row r="97" spans="1:5" x14ac:dyDescent="0.25">
      <c r="A97" s="5" t="s">
        <v>72</v>
      </c>
      <c r="B97" s="68">
        <v>1</v>
      </c>
      <c r="C97" s="68">
        <v>1</v>
      </c>
      <c r="D97" s="68">
        <v>1</v>
      </c>
      <c r="E97" s="5"/>
    </row>
  </sheetData>
  <sheetProtection selectLockedCells="1" selectUnlockedCells="1"/>
  <mergeCells count="1">
    <mergeCell ref="A3:E3"/>
  </mergeCells>
  <phoneticPr fontId="19" type="noConversion"/>
  <printOptions horizontalCentered="1" gridLines="1"/>
  <pageMargins left="0.62992125984251968" right="0.43307086614173229" top="0.98425196850393704" bottom="0.23622047244094491" header="0.27559055118110237" footer="0.51181102362204722"/>
  <pageSetup paperSize="9" scale="74" firstPageNumber="0" fitToHeight="0" orientation="portrait" r:id="rId1"/>
  <headerFooter alignWithMargins="0">
    <oddHeader>&amp;C&amp;"Times New Roman,Félkövér"&amp;12 2. melléklet
Pécsely Község Önkormányzat 2018. évi gazdálkodásának I. félévi alakulásáról szóló tájékoztatóhoz</oddHeader>
  </headerFooter>
  <rowBreaks count="2" manualBreakCount="2">
    <brk id="30" max="3" man="1"/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49"/>
  <sheetViews>
    <sheetView view="pageLayout" zoomScaleNormal="75" zoomScaleSheetLayoutView="80" workbookViewId="0">
      <selection activeCell="A2" sqref="A2:E3"/>
    </sheetView>
  </sheetViews>
  <sheetFormatPr defaultColWidth="9.140625" defaultRowHeight="15.75" x14ac:dyDescent="0.25"/>
  <cols>
    <col min="1" max="1" width="49.28515625" style="41" customWidth="1"/>
    <col min="2" max="4" width="15.7109375" style="41" customWidth="1"/>
    <col min="5" max="5" width="8.42578125" style="41" customWidth="1"/>
    <col min="6" max="6" width="11.7109375" style="41" customWidth="1"/>
    <col min="7" max="7" width="10.140625" style="41" bestFit="1" customWidth="1"/>
    <col min="8" max="8" width="10.7109375" style="41" customWidth="1"/>
    <col min="9" max="16384" width="9.140625" style="41"/>
  </cols>
  <sheetData>
    <row r="1" spans="1:7" ht="9.75" customHeight="1" thickBot="1" x14ac:dyDescent="0.3"/>
    <row r="2" spans="1:7" ht="29.25" customHeight="1" x14ac:dyDescent="0.25">
      <c r="A2" s="304" t="s">
        <v>330</v>
      </c>
      <c r="B2" s="305"/>
      <c r="C2" s="305"/>
      <c r="D2" s="305"/>
      <c r="E2" s="306"/>
    </row>
    <row r="3" spans="1:7" ht="16.5" thickBot="1" x14ac:dyDescent="0.3">
      <c r="A3" s="307"/>
      <c r="B3" s="308"/>
      <c r="C3" s="308"/>
      <c r="D3" s="308"/>
      <c r="E3" s="309"/>
    </row>
    <row r="5" spans="1:7" ht="51.75" customHeight="1" x14ac:dyDescent="0.25">
      <c r="A5" s="228" t="s">
        <v>205</v>
      </c>
      <c r="B5" s="228" t="s">
        <v>345</v>
      </c>
      <c r="C5" s="228" t="s">
        <v>346</v>
      </c>
      <c r="D5" s="228" t="s">
        <v>359</v>
      </c>
      <c r="E5" s="228" t="s">
        <v>358</v>
      </c>
    </row>
    <row r="6" spans="1:7" x14ac:dyDescent="0.25">
      <c r="A6" s="246" t="s">
        <v>226</v>
      </c>
      <c r="B6" s="42"/>
      <c r="C6" s="42"/>
      <c r="D6" s="42"/>
      <c r="E6" s="42"/>
    </row>
    <row r="7" spans="1:7" x14ac:dyDescent="0.25">
      <c r="A7" s="247" t="s">
        <v>227</v>
      </c>
      <c r="B7" s="43">
        <v>17970857</v>
      </c>
      <c r="C7" s="43">
        <v>19118089</v>
      </c>
      <c r="D7" s="43">
        <v>8411172</v>
      </c>
      <c r="E7" s="266">
        <f>D7/C7*100</f>
        <v>43.995882642872935</v>
      </c>
      <c r="G7" s="44"/>
    </row>
    <row r="8" spans="1:7" x14ac:dyDescent="0.25">
      <c r="A8" s="247" t="s">
        <v>228</v>
      </c>
      <c r="B8" s="43">
        <v>3557552</v>
      </c>
      <c r="C8" s="43">
        <v>3713552</v>
      </c>
      <c r="D8" s="43">
        <v>1584000</v>
      </c>
      <c r="E8" s="266">
        <f t="shared" ref="E8" si="0">D8/C8*100</f>
        <v>42.65457976621844</v>
      </c>
    </row>
    <row r="9" spans="1:7" x14ac:dyDescent="0.25">
      <c r="A9" s="247" t="s">
        <v>229</v>
      </c>
      <c r="B9" s="43">
        <f>SUM(B11:B28)</f>
        <v>30091000</v>
      </c>
      <c r="C9" s="43">
        <f>SUM(C11:C12,C13:C21,C22,C23:C25,C26:C28)</f>
        <v>30311320</v>
      </c>
      <c r="D9" s="43">
        <f>SUM(D11:D12,D13:D21,D22,D23:D25,D26:D28)</f>
        <v>12248453</v>
      </c>
      <c r="E9" s="266">
        <f>D9/C9*100</f>
        <v>40.408840657549725</v>
      </c>
    </row>
    <row r="10" spans="1:7" x14ac:dyDescent="0.25">
      <c r="A10" s="248" t="s">
        <v>230</v>
      </c>
      <c r="B10" s="42"/>
      <c r="C10" s="42"/>
      <c r="D10" s="42"/>
      <c r="E10" s="42"/>
    </row>
    <row r="11" spans="1:7" x14ac:dyDescent="0.25">
      <c r="A11" s="249" t="s">
        <v>238</v>
      </c>
      <c r="B11" s="42">
        <v>90000</v>
      </c>
      <c r="C11" s="42">
        <v>90000</v>
      </c>
      <c r="D11" s="42">
        <v>0</v>
      </c>
      <c r="E11" s="267">
        <v>0</v>
      </c>
    </row>
    <row r="12" spans="1:7" s="47" customFormat="1" x14ac:dyDescent="0.25">
      <c r="A12" s="250" t="s">
        <v>239</v>
      </c>
      <c r="B12" s="46">
        <v>2500000</v>
      </c>
      <c r="C12" s="46">
        <f>2500000+140000</f>
        <v>2640000</v>
      </c>
      <c r="D12" s="46">
        <v>851404</v>
      </c>
      <c r="E12" s="267">
        <f>D12/C12*100</f>
        <v>32.250151515151515</v>
      </c>
      <c r="F12" s="41"/>
    </row>
    <row r="13" spans="1:7" x14ac:dyDescent="0.25">
      <c r="A13" s="249" t="s">
        <v>240</v>
      </c>
      <c r="B13" s="42">
        <v>0</v>
      </c>
      <c r="C13" s="42">
        <v>0</v>
      </c>
      <c r="D13" s="42">
        <v>0</v>
      </c>
      <c r="E13" s="267">
        <v>0</v>
      </c>
    </row>
    <row r="14" spans="1:7" ht="15.75" customHeight="1" x14ac:dyDescent="0.25">
      <c r="A14" s="249" t="s">
        <v>241</v>
      </c>
      <c r="B14" s="42">
        <v>750000</v>
      </c>
      <c r="C14" s="42">
        <v>750000</v>
      </c>
      <c r="D14" s="42">
        <v>373075</v>
      </c>
      <c r="E14" s="267">
        <f t="shared" ref="E14:E28" si="1">D14/C14*100</f>
        <v>49.743333333333332</v>
      </c>
      <c r="G14" s="44"/>
    </row>
    <row r="15" spans="1:7" x14ac:dyDescent="0.25">
      <c r="A15" s="249" t="s">
        <v>242</v>
      </c>
      <c r="B15" s="42">
        <v>750000</v>
      </c>
      <c r="C15" s="42">
        <v>750000</v>
      </c>
      <c r="D15" s="42">
        <v>122891</v>
      </c>
      <c r="E15" s="267">
        <f t="shared" si="1"/>
        <v>16.385466666666666</v>
      </c>
    </row>
    <row r="16" spans="1:7" x14ac:dyDescent="0.25">
      <c r="A16" s="249" t="s">
        <v>243</v>
      </c>
      <c r="B16" s="42">
        <v>4800000</v>
      </c>
      <c r="C16" s="42">
        <v>4800000</v>
      </c>
      <c r="D16" s="42">
        <v>2043114</v>
      </c>
      <c r="E16" s="267">
        <f t="shared" si="1"/>
        <v>42.564875000000001</v>
      </c>
    </row>
    <row r="17" spans="1:7" x14ac:dyDescent="0.25">
      <c r="A17" s="249" t="s">
        <v>244</v>
      </c>
      <c r="B17" s="42">
        <v>1500000</v>
      </c>
      <c r="C17" s="42">
        <v>1500000</v>
      </c>
      <c r="D17" s="42">
        <v>778080</v>
      </c>
      <c r="E17" s="267">
        <f t="shared" si="1"/>
        <v>51.871999999999993</v>
      </c>
    </row>
    <row r="18" spans="1:7" x14ac:dyDescent="0.25">
      <c r="A18" s="249" t="s">
        <v>247</v>
      </c>
      <c r="B18" s="42">
        <v>0</v>
      </c>
      <c r="C18" s="42">
        <v>0</v>
      </c>
      <c r="D18" s="42">
        <v>0</v>
      </c>
      <c r="E18" s="267">
        <v>0</v>
      </c>
    </row>
    <row r="19" spans="1:7" x14ac:dyDescent="0.25">
      <c r="A19" s="249" t="s">
        <v>245</v>
      </c>
      <c r="B19" s="42">
        <v>1000000</v>
      </c>
      <c r="C19" s="42">
        <v>1000000</v>
      </c>
      <c r="D19" s="42">
        <v>109976</v>
      </c>
      <c r="E19" s="267">
        <f t="shared" si="1"/>
        <v>10.9976</v>
      </c>
    </row>
    <row r="20" spans="1:7" x14ac:dyDescent="0.25">
      <c r="A20" s="249" t="s">
        <v>246</v>
      </c>
      <c r="B20" s="42">
        <v>3300000</v>
      </c>
      <c r="C20" s="42">
        <v>3300000</v>
      </c>
      <c r="D20" s="42">
        <v>1434731</v>
      </c>
      <c r="E20" s="267">
        <f t="shared" si="1"/>
        <v>43.476696969696974</v>
      </c>
    </row>
    <row r="21" spans="1:7" s="47" customFormat="1" x14ac:dyDescent="0.25">
      <c r="A21" s="250" t="s">
        <v>248</v>
      </c>
      <c r="B21" s="46">
        <v>2500000</v>
      </c>
      <c r="C21" s="42">
        <v>2500000</v>
      </c>
      <c r="D21" s="42">
        <v>1193520</v>
      </c>
      <c r="E21" s="267">
        <f t="shared" si="1"/>
        <v>47.7408</v>
      </c>
      <c r="F21" s="41"/>
    </row>
    <row r="22" spans="1:7" s="47" customFormat="1" x14ac:dyDescent="0.25">
      <c r="A22" s="250" t="s">
        <v>249</v>
      </c>
      <c r="B22" s="46">
        <v>5500000</v>
      </c>
      <c r="C22" s="46">
        <v>5500000</v>
      </c>
      <c r="D22" s="46">
        <v>2307001</v>
      </c>
      <c r="E22" s="267">
        <f t="shared" si="1"/>
        <v>41.945472727272723</v>
      </c>
      <c r="F22" s="41"/>
    </row>
    <row r="23" spans="1:7" x14ac:dyDescent="0.25">
      <c r="A23" s="249" t="s">
        <v>250</v>
      </c>
      <c r="B23" s="42">
        <v>300000</v>
      </c>
      <c r="C23" s="42">
        <v>300000</v>
      </c>
      <c r="D23" s="42">
        <v>28790</v>
      </c>
      <c r="E23" s="267">
        <f t="shared" si="1"/>
        <v>9.5966666666666676</v>
      </c>
    </row>
    <row r="24" spans="1:7" x14ac:dyDescent="0.25">
      <c r="A24" s="249" t="s">
        <v>251</v>
      </c>
      <c r="B24" s="42">
        <v>100000</v>
      </c>
      <c r="C24" s="42">
        <v>100000</v>
      </c>
      <c r="D24" s="42">
        <v>0</v>
      </c>
      <c r="E24" s="267">
        <f t="shared" si="1"/>
        <v>0</v>
      </c>
    </row>
    <row r="25" spans="1:7" s="47" customFormat="1" ht="31.5" x14ac:dyDescent="0.25">
      <c r="A25" s="250" t="s">
        <v>252</v>
      </c>
      <c r="B25" s="46">
        <v>5000000</v>
      </c>
      <c r="C25" s="46">
        <f>5000000+37800</f>
        <v>5037800</v>
      </c>
      <c r="D25" s="46">
        <v>1941664</v>
      </c>
      <c r="E25" s="267">
        <f t="shared" si="1"/>
        <v>38.541903211719401</v>
      </c>
      <c r="F25" s="41"/>
    </row>
    <row r="26" spans="1:7" x14ac:dyDescent="0.25">
      <c r="A26" s="249" t="s">
        <v>253</v>
      </c>
      <c r="B26" s="42">
        <v>1050000</v>
      </c>
      <c r="C26" s="42">
        <f>1050000+42520</f>
        <v>1092520</v>
      </c>
      <c r="D26" s="42">
        <v>565000</v>
      </c>
      <c r="E26" s="267">
        <f t="shared" si="1"/>
        <v>51.715300406399876</v>
      </c>
    </row>
    <row r="27" spans="1:7" x14ac:dyDescent="0.25">
      <c r="A27" s="249" t="s">
        <v>285</v>
      </c>
      <c r="B27" s="42">
        <v>1000</v>
      </c>
      <c r="C27" s="42">
        <v>1000</v>
      </c>
      <c r="D27" s="42">
        <v>0</v>
      </c>
      <c r="E27" s="267">
        <f t="shared" si="1"/>
        <v>0</v>
      </c>
    </row>
    <row r="28" spans="1:7" x14ac:dyDescent="0.25">
      <c r="A28" s="249" t="s">
        <v>254</v>
      </c>
      <c r="B28" s="42">
        <v>950000</v>
      </c>
      <c r="C28" s="42">
        <v>950000</v>
      </c>
      <c r="D28" s="42">
        <v>499207</v>
      </c>
      <c r="E28" s="267">
        <f t="shared" si="1"/>
        <v>52.548105263157893</v>
      </c>
    </row>
    <row r="29" spans="1:7" x14ac:dyDescent="0.25">
      <c r="E29" s="268"/>
    </row>
    <row r="30" spans="1:7" x14ac:dyDescent="0.25">
      <c r="A30" s="246" t="s">
        <v>325</v>
      </c>
      <c r="B30" s="42"/>
      <c r="C30" s="42"/>
      <c r="D30" s="42"/>
      <c r="E30" s="267"/>
    </row>
    <row r="31" spans="1:7" ht="31.5" x14ac:dyDescent="0.25">
      <c r="A31" s="251" t="s">
        <v>231</v>
      </c>
      <c r="B31" s="42">
        <f>'4. sz. tábla'!B5</f>
        <v>14733280</v>
      </c>
      <c r="C31" s="42">
        <f>'4. sz. tábla'!C5</f>
        <v>14733280</v>
      </c>
      <c r="D31" s="42">
        <f>'4. sz. tábla'!D5</f>
        <v>6960887</v>
      </c>
      <c r="E31" s="267">
        <f>'4. sz. tábla'!E5</f>
        <v>47.2460103927978</v>
      </c>
      <c r="G31" s="44"/>
    </row>
    <row r="32" spans="1:7" ht="31.5" x14ac:dyDescent="0.25">
      <c r="A32" s="251" t="s">
        <v>225</v>
      </c>
      <c r="B32" s="42">
        <f>'4. sz. tábla'!B14</f>
        <v>150000</v>
      </c>
      <c r="C32" s="42">
        <f>'4. sz. tábla'!C14</f>
        <v>150000</v>
      </c>
      <c r="D32" s="42">
        <f>'4. sz. tábla'!D14</f>
        <v>30000</v>
      </c>
      <c r="E32" s="267">
        <f>'4. sz. tábla'!E14</f>
        <v>20</v>
      </c>
    </row>
    <row r="33" spans="1:5" x14ac:dyDescent="0.25">
      <c r="A33" s="251" t="s">
        <v>232</v>
      </c>
      <c r="B33" s="42">
        <v>27305</v>
      </c>
      <c r="C33" s="42">
        <v>27305</v>
      </c>
      <c r="D33" s="42">
        <v>27305</v>
      </c>
      <c r="E33" s="267">
        <f>D33/C33*100</f>
        <v>100</v>
      </c>
    </row>
    <row r="34" spans="1:5" x14ac:dyDescent="0.25">
      <c r="A34" s="246" t="s">
        <v>233</v>
      </c>
      <c r="B34" s="43">
        <f>SUM(B31:B33)</f>
        <v>14910585</v>
      </c>
      <c r="C34" s="43">
        <f>SUM(C31:C33)</f>
        <v>14910585</v>
      </c>
      <c r="D34" s="43">
        <f>SUM(D31:D33)</f>
        <v>7018192</v>
      </c>
      <c r="E34" s="266">
        <f>D34/C34*100</f>
        <v>47.06852212706611</v>
      </c>
    </row>
    <row r="35" spans="1:5" ht="14.25" customHeight="1" x14ac:dyDescent="0.25">
      <c r="E35" s="268"/>
    </row>
    <row r="36" spans="1:5" x14ac:dyDescent="0.25">
      <c r="A36" s="246" t="s">
        <v>234</v>
      </c>
      <c r="B36" s="42"/>
      <c r="C36" s="42"/>
      <c r="D36" s="42"/>
      <c r="E36" s="267"/>
    </row>
    <row r="37" spans="1:5" x14ac:dyDescent="0.25">
      <c r="A37" s="248" t="s">
        <v>81</v>
      </c>
      <c r="B37" s="42"/>
      <c r="C37" s="42"/>
      <c r="D37" s="42"/>
      <c r="E37" s="267"/>
    </row>
    <row r="38" spans="1:5" x14ac:dyDescent="0.25">
      <c r="A38" s="248" t="s">
        <v>82</v>
      </c>
      <c r="B38" s="42"/>
      <c r="C38" s="42"/>
      <c r="D38" s="42"/>
      <c r="E38" s="267"/>
    </row>
    <row r="39" spans="1:5" x14ac:dyDescent="0.25">
      <c r="A39" s="248" t="s">
        <v>306</v>
      </c>
      <c r="B39" s="42">
        <v>3342000</v>
      </c>
      <c r="C39" s="42">
        <v>3302000</v>
      </c>
      <c r="D39" s="42">
        <v>253245</v>
      </c>
      <c r="E39" s="267">
        <f>D39/C39*100</f>
        <v>7.669442761962447</v>
      </c>
    </row>
    <row r="40" spans="1:5" x14ac:dyDescent="0.25">
      <c r="A40" s="248" t="s">
        <v>207</v>
      </c>
      <c r="B40" s="42"/>
      <c r="C40" s="42"/>
      <c r="D40" s="42"/>
      <c r="E40" s="267"/>
    </row>
    <row r="41" spans="1:5" x14ac:dyDescent="0.25">
      <c r="A41" s="248" t="s">
        <v>272</v>
      </c>
      <c r="B41" s="42"/>
      <c r="C41" s="42"/>
      <c r="D41" s="42"/>
      <c r="E41" s="267"/>
    </row>
    <row r="42" spans="1:5" x14ac:dyDescent="0.25">
      <c r="A42" s="248" t="s">
        <v>83</v>
      </c>
      <c r="B42" s="42">
        <v>20000</v>
      </c>
      <c r="C42" s="42">
        <v>60000</v>
      </c>
      <c r="D42" s="42">
        <v>60000</v>
      </c>
      <c r="E42" s="267">
        <f>D42/C42*100</f>
        <v>100</v>
      </c>
    </row>
    <row r="43" spans="1:5" x14ac:dyDescent="0.25">
      <c r="A43" s="248" t="s">
        <v>84</v>
      </c>
      <c r="B43" s="42"/>
      <c r="C43" s="42"/>
      <c r="D43" s="42"/>
      <c r="E43" s="267"/>
    </row>
    <row r="44" spans="1:5" x14ac:dyDescent="0.25">
      <c r="A44" s="248" t="s">
        <v>235</v>
      </c>
      <c r="B44" s="42"/>
      <c r="C44" s="42"/>
      <c r="D44" s="42"/>
      <c r="E44" s="267"/>
    </row>
    <row r="45" spans="1:5" x14ac:dyDescent="0.25">
      <c r="A45" s="248" t="s">
        <v>286</v>
      </c>
      <c r="B45" s="45">
        <v>342000</v>
      </c>
      <c r="C45" s="45">
        <v>342000</v>
      </c>
      <c r="D45" s="45">
        <v>171000</v>
      </c>
      <c r="E45" s="269">
        <f>D45/C45*100</f>
        <v>50</v>
      </c>
    </row>
    <row r="46" spans="1:5" x14ac:dyDescent="0.25">
      <c r="A46" s="248" t="s">
        <v>255</v>
      </c>
      <c r="B46" s="42">
        <v>0</v>
      </c>
      <c r="C46" s="42">
        <v>0</v>
      </c>
      <c r="D46" s="42"/>
      <c r="E46" s="267"/>
    </row>
    <row r="47" spans="1:5" x14ac:dyDescent="0.25">
      <c r="A47" s="246" t="s">
        <v>236</v>
      </c>
      <c r="B47" s="43">
        <f>SUM(B37:B46)</f>
        <v>3704000</v>
      </c>
      <c r="C47" s="43">
        <f>SUM(C37:C46)</f>
        <v>3704000</v>
      </c>
      <c r="D47" s="43">
        <f>SUM(D37:D46)</f>
        <v>484245</v>
      </c>
      <c r="E47" s="266">
        <f>D47/C47*100</f>
        <v>13.073569114470843</v>
      </c>
    </row>
    <row r="48" spans="1:5" x14ac:dyDescent="0.25">
      <c r="E48" s="268"/>
    </row>
    <row r="49" spans="1:5" x14ac:dyDescent="0.25">
      <c r="A49" s="246" t="s">
        <v>237</v>
      </c>
      <c r="B49" s="43">
        <f>B7+B8+B9+B34+B47</f>
        <v>70233994</v>
      </c>
      <c r="C49" s="43">
        <f>C7+C8+C9+C34+C47</f>
        <v>71757546</v>
      </c>
      <c r="D49" s="43">
        <f>D7+D8+D9+D34+D47</f>
        <v>29746062</v>
      </c>
      <c r="E49" s="266">
        <f>D49/C49*100</f>
        <v>41.45356643049081</v>
      </c>
    </row>
  </sheetData>
  <sheetProtection selectLockedCells="1" selectUnlockedCells="1"/>
  <mergeCells count="1">
    <mergeCell ref="A2:E3"/>
  </mergeCells>
  <phoneticPr fontId="19" type="noConversion"/>
  <printOptions horizontalCentered="1"/>
  <pageMargins left="0.70866141732283472" right="0.74803149606299213" top="1.1811023622047245" bottom="0.98425196850393704" header="0.51181102362204722" footer="0.51181102362204722"/>
  <pageSetup paperSize="9" scale="71" firstPageNumber="0" orientation="portrait" r:id="rId1"/>
  <headerFooter alignWithMargins="0">
    <oddHeader>&amp;C&amp;"Times New Roman,Félkövér"&amp;12 3. melléklet
Pécsely Község Önkormányzat 2018. évi gazdálkodásának I. félévi alakulásáról szóló tájékoztatóhoz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88"/>
  <sheetViews>
    <sheetView view="pageLayout" zoomScaleNormal="100" zoomScaleSheetLayoutView="80" workbookViewId="0">
      <selection sqref="A1:E1"/>
    </sheetView>
  </sheetViews>
  <sheetFormatPr defaultColWidth="9.140625" defaultRowHeight="15.75" customHeight="1" x14ac:dyDescent="0.25"/>
  <cols>
    <col min="1" max="1" width="56.7109375" style="27" customWidth="1"/>
    <col min="2" max="2" width="13.7109375" style="28" customWidth="1"/>
    <col min="3" max="4" width="14.42578125" style="29" customWidth="1"/>
    <col min="5" max="5" width="11" style="29" bestFit="1" customWidth="1"/>
    <col min="6" max="6" width="10.28515625" style="28" customWidth="1"/>
    <col min="7" max="7" width="16.85546875" style="28" customWidth="1"/>
    <col min="8" max="8" width="15.7109375" style="28" customWidth="1"/>
    <col min="9" max="9" width="11.42578125" style="28" customWidth="1"/>
    <col min="10" max="10" width="11" style="28" customWidth="1"/>
    <col min="11" max="11" width="13.7109375" style="28" customWidth="1"/>
    <col min="12" max="12" width="16.28515625" style="28" customWidth="1"/>
    <col min="13" max="13" width="14.28515625" style="28" customWidth="1"/>
    <col min="14" max="14" width="13" style="28" customWidth="1"/>
    <col min="15" max="15" width="14.140625" style="28" customWidth="1"/>
    <col min="16" max="16" width="13.5703125" style="28" customWidth="1"/>
    <col min="17" max="16384" width="9.140625" style="28"/>
  </cols>
  <sheetData>
    <row r="1" spans="1:5" ht="39" customHeight="1" x14ac:dyDescent="0.25">
      <c r="A1" s="310" t="s">
        <v>330</v>
      </c>
      <c r="B1" s="310"/>
      <c r="C1" s="310"/>
      <c r="D1" s="310"/>
      <c r="E1" s="310"/>
    </row>
    <row r="4" spans="1:5" s="19" customFormat="1" ht="63.75" customHeight="1" x14ac:dyDescent="0.2">
      <c r="A4" s="228" t="s">
        <v>205</v>
      </c>
      <c r="B4" s="4" t="s">
        <v>345</v>
      </c>
      <c r="C4" s="238" t="s">
        <v>346</v>
      </c>
      <c r="D4" s="238" t="s">
        <v>359</v>
      </c>
      <c r="E4" s="238" t="s">
        <v>358</v>
      </c>
    </row>
    <row r="5" spans="1:5" s="19" customFormat="1" x14ac:dyDescent="0.2">
      <c r="A5" s="239" t="s">
        <v>287</v>
      </c>
      <c r="B5" s="32">
        <f>SUM(B6:B12)</f>
        <v>14733280</v>
      </c>
      <c r="C5" s="32">
        <f>SUM(C6:C13)</f>
        <v>14733280</v>
      </c>
      <c r="D5" s="32">
        <f>SUM(D6:D13)</f>
        <v>6960887</v>
      </c>
      <c r="E5" s="252">
        <f>D5/C5*100</f>
        <v>47.2460103927978</v>
      </c>
    </row>
    <row r="6" spans="1:5" s="19" customFormat="1" ht="18" customHeight="1" x14ac:dyDescent="0.25">
      <c r="A6" s="240" t="s">
        <v>288</v>
      </c>
      <c r="B6" s="30">
        <v>7460005</v>
      </c>
      <c r="C6" s="30">
        <v>7460005</v>
      </c>
      <c r="D6" s="30">
        <v>3730002</v>
      </c>
      <c r="E6" s="253">
        <f>D6/C6*100</f>
        <v>49.999993297591622</v>
      </c>
    </row>
    <row r="7" spans="1:5" s="19" customFormat="1" ht="18" customHeight="1" x14ac:dyDescent="0.25">
      <c r="A7" s="241" t="s">
        <v>289</v>
      </c>
      <c r="B7" s="30">
        <v>6161765</v>
      </c>
      <c r="C7" s="30">
        <v>6161765</v>
      </c>
      <c r="D7" s="30">
        <v>3080885</v>
      </c>
      <c r="E7" s="253">
        <f t="shared" ref="E7:E12" si="0">D7/C7*100</f>
        <v>50.000040572790425</v>
      </c>
    </row>
    <row r="8" spans="1:5" s="19" customFormat="1" ht="18" customHeight="1" x14ac:dyDescent="0.25">
      <c r="A8" s="241" t="s">
        <v>329</v>
      </c>
      <c r="B8" s="30"/>
      <c r="C8" s="238"/>
      <c r="D8" s="238"/>
      <c r="E8" s="253"/>
    </row>
    <row r="9" spans="1:5" s="19" customFormat="1" x14ac:dyDescent="0.25">
      <c r="A9" s="240" t="s">
        <v>290</v>
      </c>
      <c r="B9" s="20"/>
      <c r="C9" s="238"/>
      <c r="D9" s="238"/>
      <c r="E9" s="253"/>
    </row>
    <row r="10" spans="1:5" ht="16.5" customHeight="1" x14ac:dyDescent="0.25">
      <c r="A10" s="204" t="s">
        <v>291</v>
      </c>
      <c r="B10" s="30"/>
      <c r="C10" s="205"/>
      <c r="D10" s="205"/>
      <c r="E10" s="253"/>
    </row>
    <row r="11" spans="1:5" ht="31.5" x14ac:dyDescent="0.25">
      <c r="A11" s="240" t="s">
        <v>313</v>
      </c>
      <c r="B11" s="30">
        <v>871510</v>
      </c>
      <c r="C11" s="30">
        <v>871510</v>
      </c>
      <c r="D11" s="30">
        <v>0</v>
      </c>
      <c r="E11" s="253">
        <f t="shared" si="0"/>
        <v>0</v>
      </c>
    </row>
    <row r="12" spans="1:5" ht="16.5" customHeight="1" x14ac:dyDescent="0.25">
      <c r="A12" s="204" t="s">
        <v>327</v>
      </c>
      <c r="B12" s="30">
        <v>240000</v>
      </c>
      <c r="C12" s="30">
        <v>240000</v>
      </c>
      <c r="D12" s="30">
        <v>150000</v>
      </c>
      <c r="E12" s="253">
        <f t="shared" si="0"/>
        <v>62.5</v>
      </c>
    </row>
    <row r="13" spans="1:5" ht="16.5" customHeight="1" x14ac:dyDescent="0.25">
      <c r="A13" s="204" t="s">
        <v>338</v>
      </c>
      <c r="B13" s="30"/>
      <c r="C13" s="30"/>
      <c r="D13" s="30"/>
      <c r="E13" s="253"/>
    </row>
    <row r="14" spans="1:5" ht="16.5" customHeight="1" x14ac:dyDescent="0.25">
      <c r="A14" s="239" t="s">
        <v>292</v>
      </c>
      <c r="B14" s="32">
        <f>SUM(B15:B16)</f>
        <v>150000</v>
      </c>
      <c r="C14" s="32">
        <f>SUM(C15:C17)</f>
        <v>150000</v>
      </c>
      <c r="D14" s="32">
        <f>SUM(D15:D17)</f>
        <v>30000</v>
      </c>
      <c r="E14" s="252">
        <f>D14/C14*100</f>
        <v>20</v>
      </c>
    </row>
    <row r="15" spans="1:5" ht="16.5" customHeight="1" x14ac:dyDescent="0.25">
      <c r="A15" s="242" t="s">
        <v>292</v>
      </c>
      <c r="B15" s="237">
        <v>100000</v>
      </c>
      <c r="C15" s="237">
        <v>70000</v>
      </c>
      <c r="D15" s="237">
        <v>0</v>
      </c>
      <c r="E15" s="254">
        <v>0</v>
      </c>
    </row>
    <row r="16" spans="1:5" ht="16.5" customHeight="1" x14ac:dyDescent="0.25">
      <c r="A16" s="243" t="s">
        <v>293</v>
      </c>
      <c r="B16" s="30">
        <v>50000</v>
      </c>
      <c r="C16" s="30">
        <v>50000</v>
      </c>
      <c r="D16" s="30">
        <v>0</v>
      </c>
      <c r="E16" s="253">
        <v>0</v>
      </c>
    </row>
    <row r="17" spans="1:7" ht="31.5" x14ac:dyDescent="0.25">
      <c r="A17" s="240" t="s">
        <v>351</v>
      </c>
      <c r="B17" s="30">
        <v>0</v>
      </c>
      <c r="C17" s="30">
        <v>30000</v>
      </c>
      <c r="D17" s="30">
        <v>30000</v>
      </c>
      <c r="E17" s="254">
        <f>D17/C17*100</f>
        <v>100</v>
      </c>
    </row>
    <row r="18" spans="1:7" x14ac:dyDescent="0.25">
      <c r="A18" s="243" t="s">
        <v>294</v>
      </c>
      <c r="B18" s="30"/>
      <c r="C18" s="205"/>
      <c r="D18" s="205"/>
      <c r="E18" s="255"/>
    </row>
    <row r="19" spans="1:7" ht="16.5" customHeight="1" x14ac:dyDescent="0.25">
      <c r="A19" s="243" t="s">
        <v>298</v>
      </c>
      <c r="B19" s="30"/>
      <c r="C19" s="205"/>
      <c r="D19" s="205"/>
      <c r="E19" s="255"/>
    </row>
    <row r="20" spans="1:7" ht="16.5" customHeight="1" x14ac:dyDescent="0.25">
      <c r="A20" s="243" t="s">
        <v>295</v>
      </c>
      <c r="B20" s="30"/>
      <c r="C20" s="205"/>
      <c r="D20" s="205"/>
      <c r="E20" s="255"/>
    </row>
    <row r="21" spans="1:7" ht="16.5" customHeight="1" x14ac:dyDescent="0.25">
      <c r="A21" s="243" t="s">
        <v>296</v>
      </c>
      <c r="B21" s="30"/>
      <c r="C21" s="205"/>
      <c r="D21" s="205"/>
      <c r="E21" s="255"/>
      <c r="G21" s="33"/>
    </row>
    <row r="22" spans="1:7" ht="16.5" customHeight="1" x14ac:dyDescent="0.25">
      <c r="A22" s="243" t="s">
        <v>297</v>
      </c>
      <c r="B22" s="30"/>
      <c r="C22" s="205"/>
      <c r="D22" s="205"/>
      <c r="E22" s="255"/>
    </row>
    <row r="23" spans="1:7" ht="16.5" customHeight="1" x14ac:dyDescent="0.25">
      <c r="A23" s="243"/>
      <c r="B23" s="30"/>
      <c r="C23" s="205"/>
      <c r="D23" s="205"/>
      <c r="E23" s="255"/>
    </row>
    <row r="24" spans="1:7" ht="15" customHeight="1" x14ac:dyDescent="0.25">
      <c r="A24" s="204"/>
      <c r="B24" s="30"/>
      <c r="C24" s="205"/>
      <c r="D24" s="205"/>
      <c r="E24" s="255"/>
    </row>
    <row r="25" spans="1:7" ht="15" customHeight="1" x14ac:dyDescent="0.25">
      <c r="A25" s="239" t="s">
        <v>75</v>
      </c>
      <c r="B25" s="32">
        <f>B14+B5</f>
        <v>14883280</v>
      </c>
      <c r="C25" s="32">
        <f>C14+C5</f>
        <v>14883280</v>
      </c>
      <c r="D25" s="32">
        <f>D14+D5</f>
        <v>6990887</v>
      </c>
      <c r="E25" s="252">
        <f>D25/C25*100</f>
        <v>46.971413559376693</v>
      </c>
    </row>
    <row r="26" spans="1:7" ht="15" customHeight="1" x14ac:dyDescent="0.25">
      <c r="A26" s="34"/>
      <c r="B26" s="21"/>
    </row>
    <row r="27" spans="1:7" ht="16.5" customHeight="1" x14ac:dyDescent="0.25">
      <c r="A27" s="34"/>
      <c r="B27" s="21"/>
    </row>
    <row r="28" spans="1:7" ht="16.5" customHeight="1" x14ac:dyDescent="0.25">
      <c r="A28" s="34"/>
      <c r="B28" s="21"/>
    </row>
    <row r="29" spans="1:7" ht="16.5" customHeight="1" x14ac:dyDescent="0.25">
      <c r="A29" s="34"/>
      <c r="B29" s="21"/>
    </row>
    <row r="30" spans="1:7" ht="16.5" customHeight="1" x14ac:dyDescent="0.25">
      <c r="A30" s="34"/>
      <c r="B30" s="21"/>
    </row>
    <row r="31" spans="1:7" ht="16.5" customHeight="1" x14ac:dyDescent="0.25">
      <c r="A31" s="34"/>
      <c r="B31" s="21"/>
    </row>
    <row r="32" spans="1:7" ht="16.5" customHeight="1" x14ac:dyDescent="0.25">
      <c r="A32" s="34"/>
      <c r="B32" s="21"/>
    </row>
    <row r="33" spans="1:2" ht="16.5" customHeight="1" x14ac:dyDescent="0.25">
      <c r="A33" s="34"/>
      <c r="B33" s="21"/>
    </row>
    <row r="34" spans="1:2" ht="16.5" customHeight="1" x14ac:dyDescent="0.25">
      <c r="A34" s="34"/>
      <c r="B34" s="21"/>
    </row>
    <row r="35" spans="1:2" ht="27.75" customHeight="1" x14ac:dyDescent="0.25">
      <c r="A35" s="34"/>
      <c r="B35" s="21"/>
    </row>
    <row r="36" spans="1:2" ht="29.25" customHeight="1" x14ac:dyDescent="0.25">
      <c r="A36" s="34"/>
      <c r="B36" s="21"/>
    </row>
    <row r="37" spans="1:2" ht="16.5" customHeight="1" x14ac:dyDescent="0.25">
      <c r="A37" s="34"/>
      <c r="B37" s="21"/>
    </row>
    <row r="38" spans="1:2" ht="16.5" customHeight="1" x14ac:dyDescent="0.25">
      <c r="A38" s="34"/>
      <c r="B38" s="21"/>
    </row>
    <row r="39" spans="1:2" ht="21" customHeight="1" x14ac:dyDescent="0.25">
      <c r="A39" s="34"/>
      <c r="B39" s="21"/>
    </row>
    <row r="40" spans="1:2" ht="16.5" customHeight="1" x14ac:dyDescent="0.25">
      <c r="A40" s="34"/>
      <c r="B40" s="21"/>
    </row>
    <row r="41" spans="1:2" ht="16.5" customHeight="1" x14ac:dyDescent="0.25">
      <c r="A41" s="34"/>
      <c r="B41" s="21"/>
    </row>
    <row r="42" spans="1:2" ht="18.75" customHeight="1" x14ac:dyDescent="0.25">
      <c r="A42" s="34"/>
      <c r="B42" s="21"/>
    </row>
    <row r="43" spans="1:2" ht="16.5" customHeight="1" x14ac:dyDescent="0.25">
      <c r="A43" s="34"/>
      <c r="B43" s="21"/>
    </row>
    <row r="44" spans="1:2" ht="18" customHeight="1" x14ac:dyDescent="0.25">
      <c r="A44" s="34"/>
      <c r="B44" s="21"/>
    </row>
    <row r="45" spans="1:2" ht="30" customHeight="1" x14ac:dyDescent="0.25">
      <c r="A45" s="35"/>
      <c r="B45" s="21"/>
    </row>
    <row r="46" spans="1:2" ht="17.25" customHeight="1" x14ac:dyDescent="0.25">
      <c r="A46" s="34"/>
      <c r="B46" s="21"/>
    </row>
    <row r="47" spans="1:2" ht="17.25" customHeight="1" x14ac:dyDescent="0.25">
      <c r="A47" s="34"/>
      <c r="B47" s="22"/>
    </row>
    <row r="48" spans="1:2" ht="17.25" customHeight="1" x14ac:dyDescent="0.25">
      <c r="A48" s="34"/>
      <c r="B48" s="22"/>
    </row>
    <row r="49" spans="1:4" s="19" customFormat="1" ht="63.75" customHeight="1" x14ac:dyDescent="0.2">
      <c r="A49" s="23"/>
      <c r="B49" s="16"/>
      <c r="C49" s="24"/>
      <c r="D49" s="24"/>
    </row>
    <row r="50" spans="1:4" ht="29.25" customHeight="1" x14ac:dyDescent="0.25">
      <c r="A50" s="35"/>
      <c r="B50" s="21"/>
    </row>
    <row r="51" spans="1:4" ht="19.5" customHeight="1" x14ac:dyDescent="0.25">
      <c r="A51" s="35"/>
      <c r="B51" s="21"/>
    </row>
    <row r="52" spans="1:4" ht="18" customHeight="1" x14ac:dyDescent="0.25">
      <c r="A52" s="34"/>
      <c r="B52" s="21"/>
    </row>
    <row r="53" spans="1:4" ht="16.5" customHeight="1" x14ac:dyDescent="0.25">
      <c r="A53" s="35"/>
      <c r="B53" s="21"/>
    </row>
    <row r="54" spans="1:4" ht="18" customHeight="1" x14ac:dyDescent="0.25">
      <c r="A54" s="34"/>
      <c r="B54" s="21"/>
    </row>
    <row r="55" spans="1:4" ht="30" customHeight="1" x14ac:dyDescent="0.25">
      <c r="A55" s="35"/>
      <c r="B55" s="21"/>
    </row>
    <row r="56" spans="1:4" ht="18" customHeight="1" x14ac:dyDescent="0.25">
      <c r="A56" s="35"/>
      <c r="B56" s="21"/>
    </row>
    <row r="57" spans="1:4" ht="21" customHeight="1" x14ac:dyDescent="0.25">
      <c r="A57" s="1"/>
      <c r="B57" s="21"/>
    </row>
    <row r="58" spans="1:4" ht="18" customHeight="1" x14ac:dyDescent="0.25">
      <c r="A58" s="36"/>
      <c r="B58" s="21"/>
    </row>
    <row r="59" spans="1:4" x14ac:dyDescent="0.25">
      <c r="A59" s="36"/>
      <c r="B59" s="21"/>
    </row>
    <row r="60" spans="1:4" ht="15.75" customHeight="1" x14ac:dyDescent="0.25">
      <c r="A60" s="36"/>
      <c r="B60" s="21"/>
    </row>
    <row r="61" spans="1:4" ht="16.5" customHeight="1" x14ac:dyDescent="0.25">
      <c r="A61" s="36"/>
      <c r="B61" s="21"/>
    </row>
    <row r="62" spans="1:4" ht="18" customHeight="1" x14ac:dyDescent="0.25">
      <c r="A62" s="37"/>
      <c r="B62" s="21"/>
    </row>
    <row r="63" spans="1:4" ht="33" customHeight="1" x14ac:dyDescent="0.25">
      <c r="A63" s="36"/>
      <c r="B63" s="21"/>
    </row>
    <row r="64" spans="1:4" ht="15.75" customHeight="1" x14ac:dyDescent="0.25">
      <c r="A64" s="36"/>
      <c r="B64" s="21"/>
    </row>
    <row r="65" spans="1:2" ht="15.75" customHeight="1" x14ac:dyDescent="0.25">
      <c r="A65" s="36"/>
      <c r="B65" s="21"/>
    </row>
    <row r="66" spans="1:2" ht="15.75" customHeight="1" x14ac:dyDescent="0.25">
      <c r="A66" s="36"/>
      <c r="B66" s="21"/>
    </row>
    <row r="67" spans="1:2" ht="15.75" customHeight="1" x14ac:dyDescent="0.25">
      <c r="A67" s="36"/>
      <c r="B67" s="21"/>
    </row>
    <row r="68" spans="1:2" ht="15.75" customHeight="1" x14ac:dyDescent="0.25">
      <c r="A68" s="36"/>
      <c r="B68" s="21"/>
    </row>
    <row r="69" spans="1:2" ht="15.75" customHeight="1" x14ac:dyDescent="0.25">
      <c r="A69" s="36"/>
      <c r="B69" s="21"/>
    </row>
    <row r="70" spans="1:2" ht="15.75" customHeight="1" x14ac:dyDescent="0.25">
      <c r="A70" s="36"/>
      <c r="B70" s="21"/>
    </row>
    <row r="71" spans="1:2" ht="15.75" customHeight="1" x14ac:dyDescent="0.25">
      <c r="A71" s="36"/>
      <c r="B71" s="21"/>
    </row>
    <row r="72" spans="1:2" ht="15.75" customHeight="1" x14ac:dyDescent="0.25">
      <c r="A72" s="36"/>
      <c r="B72" s="21"/>
    </row>
    <row r="73" spans="1:2" ht="15.75" customHeight="1" x14ac:dyDescent="0.25">
      <c r="A73" s="36"/>
      <c r="B73" s="21"/>
    </row>
    <row r="74" spans="1:2" ht="15.75" customHeight="1" x14ac:dyDescent="0.25">
      <c r="A74" s="36"/>
      <c r="B74" s="21"/>
    </row>
    <row r="75" spans="1:2" ht="15.75" customHeight="1" x14ac:dyDescent="0.25">
      <c r="A75" s="36"/>
      <c r="B75" s="21"/>
    </row>
    <row r="76" spans="1:2" ht="15.75" customHeight="1" x14ac:dyDescent="0.25">
      <c r="A76" s="36"/>
      <c r="B76" s="21"/>
    </row>
    <row r="77" spans="1:2" ht="15.75" customHeight="1" x14ac:dyDescent="0.25">
      <c r="A77" s="36"/>
      <c r="B77" s="21"/>
    </row>
    <row r="78" spans="1:2" ht="15.75" customHeight="1" x14ac:dyDescent="0.25">
      <c r="A78" s="1"/>
      <c r="B78" s="21"/>
    </row>
    <row r="79" spans="1:2" ht="15.75" customHeight="1" x14ac:dyDescent="0.25">
      <c r="A79" s="1"/>
      <c r="B79" s="21"/>
    </row>
    <row r="80" spans="1:2" ht="15.75" customHeight="1" x14ac:dyDescent="0.25">
      <c r="A80" s="1"/>
      <c r="B80" s="21"/>
    </row>
    <row r="81" spans="1:5" ht="15.75" customHeight="1" x14ac:dyDescent="0.25">
      <c r="A81" s="1"/>
      <c r="B81" s="21"/>
    </row>
    <row r="82" spans="1:5" ht="15.75" customHeight="1" x14ac:dyDescent="0.25">
      <c r="A82" s="1"/>
      <c r="B82" s="21"/>
    </row>
    <row r="83" spans="1:5" ht="15.75" customHeight="1" x14ac:dyDescent="0.25">
      <c r="A83" s="1"/>
      <c r="B83" s="21"/>
    </row>
    <row r="84" spans="1:5" ht="15.75" customHeight="1" x14ac:dyDescent="0.25">
      <c r="A84" s="1"/>
      <c r="B84" s="21"/>
    </row>
    <row r="85" spans="1:5" ht="15.75" customHeight="1" x14ac:dyDescent="0.25">
      <c r="A85" s="1"/>
      <c r="B85" s="21"/>
    </row>
    <row r="86" spans="1:5" ht="15.75" customHeight="1" x14ac:dyDescent="0.25">
      <c r="A86" s="1"/>
      <c r="B86" s="21"/>
    </row>
    <row r="87" spans="1:5" s="39" customFormat="1" ht="20.25" customHeight="1" x14ac:dyDescent="0.25">
      <c r="A87" s="25"/>
      <c r="B87" s="26"/>
      <c r="C87" s="38"/>
      <c r="D87" s="38"/>
      <c r="E87" s="38"/>
    </row>
    <row r="88" spans="1:5" ht="20.25" customHeight="1" x14ac:dyDescent="0.25">
      <c r="A88" s="40"/>
    </row>
  </sheetData>
  <sheetProtection selectLockedCells="1" selectUnlockedCells="1"/>
  <mergeCells count="1">
    <mergeCell ref="A1:E1"/>
  </mergeCells>
  <phoneticPr fontId="19" type="noConversion"/>
  <printOptions horizontalCentered="1"/>
  <pageMargins left="0.23622047244094491" right="0.23622047244094491" top="1.4960629921259843" bottom="0.39370078740157483" header="0.82677165354330717" footer="0.51181102362204722"/>
  <pageSetup paperSize="9" scale="75" firstPageNumber="0" orientation="portrait" r:id="rId1"/>
  <headerFooter alignWithMargins="0">
    <oddHeader>&amp;C&amp;"Times New Roman,Félkövér"&amp;12 4. melléklet
Pécsely Község Önkormányzat 2018. évi gazdálkodásának I. félévi alakulásáról szóló tájékoztatóhoz</oddHeader>
  </headerFooter>
  <rowBreaks count="2" manualBreakCount="2">
    <brk id="46" max="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57"/>
  <sheetViews>
    <sheetView view="pageLayout" zoomScaleNormal="75" zoomScaleSheetLayoutView="150" workbookViewId="0">
      <selection sqref="A1:E1"/>
    </sheetView>
  </sheetViews>
  <sheetFormatPr defaultColWidth="9.140625" defaultRowHeight="15.75" x14ac:dyDescent="0.25"/>
  <cols>
    <col min="1" max="1" width="37" style="8" customWidth="1"/>
    <col min="2" max="4" width="13.5703125" style="8" customWidth="1"/>
    <col min="5" max="5" width="9.42578125" style="8" customWidth="1"/>
    <col min="6" max="6" width="9.140625" style="8"/>
    <col min="7" max="7" width="10.140625" style="8" bestFit="1" customWidth="1"/>
    <col min="8" max="8" width="13" style="8" customWidth="1"/>
    <col min="9" max="9" width="13.85546875" style="8" customWidth="1"/>
    <col min="10" max="10" width="11.42578125" style="8" customWidth="1"/>
    <col min="11" max="11" width="12" style="8" customWidth="1"/>
    <col min="12" max="12" width="12.5703125" style="8" customWidth="1"/>
    <col min="13" max="13" width="13.140625" style="8" customWidth="1"/>
    <col min="14" max="16384" width="9.140625" style="8"/>
  </cols>
  <sheetData>
    <row r="1" spans="1:5" ht="36" customHeight="1" x14ac:dyDescent="0.25">
      <c r="A1" s="311" t="s">
        <v>333</v>
      </c>
      <c r="B1" s="311"/>
      <c r="C1" s="311"/>
      <c r="D1" s="311"/>
      <c r="E1" s="311"/>
    </row>
    <row r="3" spans="1:5" ht="48" customHeight="1" x14ac:dyDescent="0.25">
      <c r="A3" s="228" t="s">
        <v>205</v>
      </c>
      <c r="B3" s="228" t="s">
        <v>345</v>
      </c>
      <c r="C3" s="228" t="s">
        <v>346</v>
      </c>
      <c r="D3" s="228" t="s">
        <v>359</v>
      </c>
      <c r="E3" s="228" t="s">
        <v>358</v>
      </c>
    </row>
    <row r="4" spans="1:5" x14ac:dyDescent="0.25">
      <c r="A4" s="225" t="s">
        <v>299</v>
      </c>
      <c r="B4" s="9"/>
      <c r="C4" s="9"/>
      <c r="D4" s="9"/>
      <c r="E4" s="9"/>
    </row>
    <row r="5" spans="1:5" x14ac:dyDescent="0.25">
      <c r="A5" s="312" t="s">
        <v>321</v>
      </c>
      <c r="B5" s="312"/>
      <c r="C5" s="312"/>
      <c r="D5" s="312"/>
      <c r="E5" s="312"/>
    </row>
    <row r="6" spans="1:5" x14ac:dyDescent="0.25">
      <c r="A6" s="226" t="s">
        <v>355</v>
      </c>
      <c r="B6" s="9">
        <v>0</v>
      </c>
      <c r="C6" s="9">
        <v>2667000</v>
      </c>
      <c r="D6" s="9">
        <v>0</v>
      </c>
      <c r="E6" s="256">
        <v>0</v>
      </c>
    </row>
    <row r="7" spans="1:5" x14ac:dyDescent="0.25">
      <c r="A7" s="312" t="s">
        <v>322</v>
      </c>
      <c r="B7" s="312"/>
      <c r="C7" s="312"/>
      <c r="D7" s="312"/>
      <c r="E7" s="312"/>
    </row>
    <row r="8" spans="1:5" x14ac:dyDescent="0.25">
      <c r="A8" s="229" t="s">
        <v>309</v>
      </c>
      <c r="B8" s="9">
        <v>200000</v>
      </c>
      <c r="C8" s="9">
        <v>200000</v>
      </c>
      <c r="D8" s="9">
        <v>0</v>
      </c>
      <c r="E8" s="256">
        <f>C8-B8</f>
        <v>0</v>
      </c>
    </row>
    <row r="9" spans="1:5" ht="17.25" customHeight="1" x14ac:dyDescent="0.25">
      <c r="A9" s="229" t="s">
        <v>331</v>
      </c>
      <c r="B9" s="9">
        <v>1300000</v>
      </c>
      <c r="C9" s="9">
        <v>1300000</v>
      </c>
      <c r="D9" s="9">
        <v>0</v>
      </c>
      <c r="E9" s="256">
        <f t="shared" ref="E9:E11" si="0">C9-B9</f>
        <v>0</v>
      </c>
    </row>
    <row r="10" spans="1:5" x14ac:dyDescent="0.25">
      <c r="A10" s="229" t="s">
        <v>332</v>
      </c>
      <c r="B10" s="9">
        <v>200000</v>
      </c>
      <c r="C10" s="9">
        <v>200000</v>
      </c>
      <c r="D10" s="9">
        <v>0</v>
      </c>
      <c r="E10" s="256">
        <f t="shared" si="0"/>
        <v>0</v>
      </c>
    </row>
    <row r="11" spans="1:5" x14ac:dyDescent="0.25">
      <c r="A11" s="229" t="s">
        <v>335</v>
      </c>
      <c r="B11" s="9">
        <v>300000</v>
      </c>
      <c r="C11" s="9">
        <v>300000</v>
      </c>
      <c r="D11" s="9">
        <v>0</v>
      </c>
      <c r="E11" s="256">
        <f t="shared" si="0"/>
        <v>0</v>
      </c>
    </row>
    <row r="12" spans="1:5" x14ac:dyDescent="0.25">
      <c r="A12" s="229" t="s">
        <v>323</v>
      </c>
      <c r="B12" s="9">
        <v>400000</v>
      </c>
      <c r="C12" s="9">
        <v>400000</v>
      </c>
      <c r="D12" s="9">
        <v>161177</v>
      </c>
      <c r="E12" s="256">
        <f>D12/C12*100</f>
        <v>40.294249999999998</v>
      </c>
    </row>
    <row r="13" spans="1:5" x14ac:dyDescent="0.25">
      <c r="A13" s="225" t="s">
        <v>300</v>
      </c>
      <c r="B13" s="230">
        <f>SUM(B7:B12)</f>
        <v>2400000</v>
      </c>
      <c r="C13" s="230">
        <f>SUM(C6:C12)</f>
        <v>5067000</v>
      </c>
      <c r="D13" s="230">
        <f>SUM(D6:D12)</f>
        <v>161177</v>
      </c>
      <c r="E13" s="257">
        <f>SUM(E6:E12)</f>
        <v>40.294249999999998</v>
      </c>
    </row>
    <row r="14" spans="1:5" x14ac:dyDescent="0.25">
      <c r="A14" s="225"/>
      <c r="B14" s="9"/>
      <c r="C14" s="9"/>
      <c r="D14" s="9"/>
      <c r="E14" s="9"/>
    </row>
    <row r="15" spans="1:5" x14ac:dyDescent="0.25">
      <c r="A15" s="225" t="s">
        <v>301</v>
      </c>
      <c r="B15" s="9"/>
      <c r="C15" s="9"/>
      <c r="D15" s="9"/>
      <c r="E15" s="9"/>
    </row>
    <row r="16" spans="1:5" ht="31.5" x14ac:dyDescent="0.25">
      <c r="A16" s="226" t="s">
        <v>334</v>
      </c>
      <c r="B16" s="11">
        <v>500000</v>
      </c>
      <c r="C16" s="11">
        <v>500000</v>
      </c>
      <c r="D16" s="11">
        <v>0</v>
      </c>
      <c r="E16" s="258">
        <f t="shared" ref="E16:E20" si="1">D16/C16*100</f>
        <v>0</v>
      </c>
    </row>
    <row r="17" spans="1:8" ht="31.5" x14ac:dyDescent="0.25">
      <c r="A17" s="226" t="s">
        <v>307</v>
      </c>
      <c r="B17" s="11">
        <v>0</v>
      </c>
      <c r="C17" s="11">
        <v>360000</v>
      </c>
      <c r="D17" s="11">
        <v>180000</v>
      </c>
      <c r="E17" s="258">
        <f t="shared" si="1"/>
        <v>50</v>
      </c>
    </row>
    <row r="18" spans="1:8" ht="31.5" x14ac:dyDescent="0.25">
      <c r="A18" s="226" t="s">
        <v>336</v>
      </c>
      <c r="B18" s="11">
        <v>12738922</v>
      </c>
      <c r="C18" s="11">
        <v>12738922</v>
      </c>
      <c r="D18" s="11">
        <v>0</v>
      </c>
      <c r="E18" s="258">
        <f t="shared" si="1"/>
        <v>0</v>
      </c>
    </row>
    <row r="19" spans="1:8" x14ac:dyDescent="0.25">
      <c r="A19" s="226" t="s">
        <v>337</v>
      </c>
      <c r="B19" s="11">
        <v>2248045</v>
      </c>
      <c r="C19" s="11">
        <v>2248045</v>
      </c>
      <c r="D19" s="11">
        <v>0</v>
      </c>
      <c r="E19" s="258">
        <f t="shared" si="1"/>
        <v>0</v>
      </c>
    </row>
    <row r="20" spans="1:8" s="10" customFormat="1" ht="31.5" x14ac:dyDescent="0.25">
      <c r="A20" s="226" t="s">
        <v>326</v>
      </c>
      <c r="B20" s="11">
        <v>6302741</v>
      </c>
      <c r="C20" s="11">
        <v>6302741</v>
      </c>
      <c r="D20" s="11">
        <f>1841914+3120874+842636+497317</f>
        <v>6302741</v>
      </c>
      <c r="E20" s="258">
        <f t="shared" si="1"/>
        <v>100</v>
      </c>
      <c r="H20" s="185"/>
    </row>
    <row r="21" spans="1:8" s="10" customFormat="1" ht="31.5" x14ac:dyDescent="0.25">
      <c r="A21" s="226" t="s">
        <v>348</v>
      </c>
      <c r="B21" s="11">
        <v>0</v>
      </c>
      <c r="C21" s="11">
        <v>135200</v>
      </c>
      <c r="D21" s="11">
        <v>135200</v>
      </c>
      <c r="E21" s="258">
        <f>D21/C21*100</f>
        <v>100</v>
      </c>
      <c r="H21" s="185"/>
    </row>
    <row r="22" spans="1:8" s="10" customFormat="1" x14ac:dyDescent="0.25">
      <c r="A22" s="226" t="s">
        <v>352</v>
      </c>
      <c r="B22" s="11">
        <v>0</v>
      </c>
      <c r="C22" s="11">
        <v>78900</v>
      </c>
      <c r="D22" s="11">
        <v>78900</v>
      </c>
      <c r="E22" s="258">
        <f t="shared" ref="E22:E23" si="2">D22/C22*100</f>
        <v>100</v>
      </c>
      <c r="H22" s="185"/>
    </row>
    <row r="23" spans="1:8" s="10" customFormat="1" x14ac:dyDescent="0.25">
      <c r="A23" s="226" t="s">
        <v>354</v>
      </c>
      <c r="B23" s="11">
        <v>0</v>
      </c>
      <c r="C23" s="11">
        <v>170000</v>
      </c>
      <c r="D23" s="11">
        <v>0</v>
      </c>
      <c r="E23" s="258">
        <f t="shared" si="2"/>
        <v>0</v>
      </c>
      <c r="H23" s="185"/>
    </row>
    <row r="24" spans="1:8" s="10" customFormat="1" x14ac:dyDescent="0.25">
      <c r="A24" s="225" t="s">
        <v>302</v>
      </c>
      <c r="B24" s="227">
        <f>SUM(B16:B23)</f>
        <v>21789708</v>
      </c>
      <c r="C24" s="227">
        <f>SUM(C16:C23)</f>
        <v>22533808</v>
      </c>
      <c r="D24" s="227">
        <f>SUM(D16:D23)</f>
        <v>6696841</v>
      </c>
      <c r="E24" s="259">
        <f>D24/C24*100</f>
        <v>29.719082544770064</v>
      </c>
    </row>
    <row r="25" spans="1:8" s="10" customFormat="1" x14ac:dyDescent="0.25">
      <c r="A25" s="231"/>
      <c r="B25" s="231"/>
      <c r="C25" s="231"/>
      <c r="D25" s="231"/>
      <c r="E25" s="260"/>
    </row>
    <row r="26" spans="1:8" x14ac:dyDescent="0.25">
      <c r="A26" s="225" t="s">
        <v>303</v>
      </c>
      <c r="B26" s="232">
        <f>B27</f>
        <v>75000</v>
      </c>
      <c r="C26" s="232">
        <f>C27</f>
        <v>75000</v>
      </c>
      <c r="D26" s="232">
        <f>D27</f>
        <v>75000</v>
      </c>
      <c r="E26" s="261">
        <f>D26/C26*100</f>
        <v>100</v>
      </c>
    </row>
    <row r="27" spans="1:8" ht="31.5" x14ac:dyDescent="0.25">
      <c r="A27" s="226" t="s">
        <v>308</v>
      </c>
      <c r="B27" s="12">
        <v>75000</v>
      </c>
      <c r="C27" s="12">
        <v>75000</v>
      </c>
      <c r="D27" s="12">
        <v>75000</v>
      </c>
      <c r="E27" s="262">
        <f>D27/C27*100</f>
        <v>100</v>
      </c>
    </row>
    <row r="28" spans="1:8" x14ac:dyDescent="0.25">
      <c r="A28" s="225"/>
      <c r="B28" s="12"/>
      <c r="C28" s="12"/>
      <c r="D28" s="12"/>
      <c r="E28" s="262"/>
    </row>
    <row r="29" spans="1:8" x14ac:dyDescent="0.25">
      <c r="A29" s="230" t="s">
        <v>324</v>
      </c>
      <c r="B29" s="230">
        <f>B26+B24+B13</f>
        <v>24264708</v>
      </c>
      <c r="C29" s="230">
        <f>C26+C24+C13</f>
        <v>27675808</v>
      </c>
      <c r="D29" s="230">
        <f>D26+D24+D13</f>
        <v>6933018</v>
      </c>
      <c r="E29" s="257">
        <f>D29/C29*100</f>
        <v>25.050824171059432</v>
      </c>
    </row>
    <row r="30" spans="1:8" x14ac:dyDescent="0.25">
      <c r="A30" s="233"/>
      <c r="B30" s="233"/>
      <c r="C30" s="233"/>
      <c r="D30" s="233"/>
      <c r="E30" s="263"/>
    </row>
    <row r="31" spans="1:8" x14ac:dyDescent="0.25">
      <c r="A31" s="234" t="s">
        <v>88</v>
      </c>
      <c r="B31" s="234"/>
      <c r="C31" s="234"/>
      <c r="D31" s="234"/>
      <c r="E31" s="264"/>
    </row>
    <row r="32" spans="1:8" x14ac:dyDescent="0.25">
      <c r="A32" s="235" t="s">
        <v>89</v>
      </c>
      <c r="B32" s="12"/>
      <c r="C32" s="12"/>
      <c r="D32" s="12"/>
      <c r="E32" s="262"/>
    </row>
    <row r="33" spans="1:5" s="10" customFormat="1" x14ac:dyDescent="0.25">
      <c r="A33" s="235" t="s">
        <v>85</v>
      </c>
      <c r="B33" s="12"/>
      <c r="C33" s="12"/>
      <c r="D33" s="12"/>
      <c r="E33" s="262"/>
    </row>
    <row r="34" spans="1:5" ht="31.5" x14ac:dyDescent="0.25">
      <c r="A34" s="235" t="s">
        <v>213</v>
      </c>
      <c r="B34" s="12">
        <v>1691641</v>
      </c>
      <c r="C34" s="12">
        <v>1691641</v>
      </c>
      <c r="D34" s="12">
        <v>1435226</v>
      </c>
      <c r="E34" s="262">
        <f>D34/C34*100</f>
        <v>84.842233074275214</v>
      </c>
    </row>
    <row r="35" spans="1:5" ht="31.5" x14ac:dyDescent="0.25">
      <c r="A35" s="234" t="s">
        <v>90</v>
      </c>
      <c r="B35" s="234">
        <f>SUM(B32:B34)</f>
        <v>1691641</v>
      </c>
      <c r="C35" s="234">
        <f>SUM(C32:C34)</f>
        <v>1691641</v>
      </c>
      <c r="D35" s="234">
        <f>SUM(D32:D34)</f>
        <v>1435226</v>
      </c>
      <c r="E35" s="264">
        <f>D35/C35*100</f>
        <v>84.842233074275214</v>
      </c>
    </row>
    <row r="36" spans="1:5" x14ac:dyDescent="0.25">
      <c r="A36" s="236"/>
      <c r="B36" s="12"/>
      <c r="C36" s="12"/>
      <c r="D36" s="12"/>
      <c r="E36" s="262"/>
    </row>
    <row r="37" spans="1:5" x14ac:dyDescent="0.25">
      <c r="A37" s="225"/>
      <c r="B37" s="230"/>
      <c r="C37" s="230"/>
      <c r="D37" s="230"/>
      <c r="E37" s="257"/>
    </row>
    <row r="38" spans="1:5" x14ac:dyDescent="0.25">
      <c r="A38" s="225" t="s">
        <v>91</v>
      </c>
      <c r="B38" s="225">
        <f>B35+B29</f>
        <v>25956349</v>
      </c>
      <c r="C38" s="225">
        <f>C35+C29</f>
        <v>29367449</v>
      </c>
      <c r="D38" s="225">
        <f>D35+D29</f>
        <v>8368244</v>
      </c>
      <c r="E38" s="265">
        <f>D38/C38*100</f>
        <v>28.494963930983587</v>
      </c>
    </row>
    <row r="39" spans="1:5" x14ac:dyDescent="0.25">
      <c r="A39" s="13"/>
      <c r="B39" s="13"/>
      <c r="C39" s="13"/>
      <c r="D39" s="13"/>
      <c r="E39" s="14"/>
    </row>
    <row r="40" spans="1:5" x14ac:dyDescent="0.25">
      <c r="A40" s="13"/>
      <c r="B40" s="13"/>
      <c r="C40" s="13"/>
      <c r="D40" s="13"/>
      <c r="E40" s="14"/>
    </row>
    <row r="41" spans="1:5" x14ac:dyDescent="0.25">
      <c r="A41" s="13"/>
      <c r="B41" s="13"/>
      <c r="C41" s="13"/>
      <c r="D41" s="13"/>
      <c r="E41" s="14"/>
    </row>
    <row r="42" spans="1:5" x14ac:dyDescent="0.25">
      <c r="A42" s="14"/>
      <c r="B42" s="14"/>
      <c r="C42" s="13"/>
      <c r="D42" s="13"/>
      <c r="E42" s="15"/>
    </row>
    <row r="43" spans="1:5" x14ac:dyDescent="0.25">
      <c r="A43" s="14"/>
      <c r="B43" s="14"/>
      <c r="C43" s="13"/>
      <c r="D43" s="13"/>
      <c r="E43" s="14"/>
    </row>
    <row r="44" spans="1:5" x14ac:dyDescent="0.25">
      <c r="A44" s="14"/>
      <c r="B44" s="14"/>
      <c r="C44" s="13"/>
      <c r="D44" s="13"/>
      <c r="E44" s="14"/>
    </row>
    <row r="45" spans="1:5" x14ac:dyDescent="0.25">
      <c r="A45" s="14"/>
      <c r="B45" s="14"/>
      <c r="C45" s="13"/>
      <c r="D45" s="13"/>
      <c r="E45" s="14"/>
    </row>
    <row r="46" spans="1:5" x14ac:dyDescent="0.25">
      <c r="A46" s="14"/>
      <c r="B46" s="14"/>
      <c r="C46" s="13"/>
      <c r="D46" s="13"/>
      <c r="E46" s="14"/>
    </row>
    <row r="47" spans="1:5" x14ac:dyDescent="0.25">
      <c r="A47" s="14"/>
      <c r="B47" s="14"/>
      <c r="C47" s="13"/>
      <c r="D47" s="13"/>
      <c r="E47" s="15"/>
    </row>
    <row r="48" spans="1:5" x14ac:dyDescent="0.25">
      <c r="A48" s="14"/>
      <c r="B48" s="14"/>
      <c r="C48" s="13"/>
      <c r="D48" s="13"/>
      <c r="E48" s="14"/>
    </row>
    <row r="49" spans="1:5" x14ac:dyDescent="0.25">
      <c r="A49" s="14"/>
      <c r="B49" s="14"/>
      <c r="C49" s="13"/>
      <c r="D49" s="13"/>
      <c r="E49" s="14"/>
    </row>
    <row r="50" spans="1:5" x14ac:dyDescent="0.25">
      <c r="A50" s="14"/>
      <c r="B50" s="14"/>
      <c r="C50" s="13"/>
      <c r="D50" s="13"/>
      <c r="E50" s="14"/>
    </row>
    <row r="51" spans="1:5" x14ac:dyDescent="0.25">
      <c r="A51" s="14"/>
      <c r="B51" s="14"/>
      <c r="C51" s="13"/>
      <c r="D51" s="13"/>
      <c r="E51" s="14"/>
    </row>
    <row r="52" spans="1:5" x14ac:dyDescent="0.25">
      <c r="A52" s="14"/>
      <c r="B52" s="14"/>
      <c r="C52" s="13"/>
      <c r="D52" s="13"/>
      <c r="E52" s="14"/>
    </row>
    <row r="53" spans="1:5" x14ac:dyDescent="0.25">
      <c r="A53" s="14"/>
      <c r="B53" s="14"/>
      <c r="C53" s="13"/>
      <c r="D53" s="13"/>
      <c r="E53" s="14"/>
    </row>
    <row r="54" spans="1:5" ht="14.25" customHeight="1" x14ac:dyDescent="0.25">
      <c r="A54" s="14"/>
      <c r="B54" s="14"/>
      <c r="C54" s="13"/>
      <c r="D54" s="13"/>
      <c r="E54" s="14"/>
    </row>
    <row r="55" spans="1:5" ht="14.25" customHeight="1" x14ac:dyDescent="0.25">
      <c r="A55" s="14"/>
      <c r="B55" s="14"/>
      <c r="C55" s="13"/>
      <c r="D55" s="13"/>
      <c r="E55" s="14"/>
    </row>
    <row r="56" spans="1:5" ht="30" customHeight="1" x14ac:dyDescent="0.25">
      <c r="A56" s="14"/>
      <c r="B56" s="14"/>
      <c r="C56" s="13"/>
      <c r="D56" s="13"/>
      <c r="E56" s="14"/>
    </row>
    <row r="57" spans="1:5" ht="16.5" customHeight="1" x14ac:dyDescent="0.25">
      <c r="A57" s="14"/>
      <c r="B57" s="14"/>
      <c r="C57" s="13"/>
      <c r="D57" s="13"/>
      <c r="E57" s="14"/>
    </row>
    <row r="58" spans="1:5" x14ac:dyDescent="0.25">
      <c r="A58" s="14"/>
      <c r="B58" s="14"/>
      <c r="C58" s="13"/>
      <c r="D58" s="13"/>
      <c r="E58" s="13"/>
    </row>
    <row r="59" spans="1:5" x14ac:dyDescent="0.25">
      <c r="A59" s="14"/>
      <c r="B59" s="14"/>
      <c r="C59" s="16"/>
      <c r="D59" s="16"/>
      <c r="E59" s="16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ht="12" customHeight="1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3"/>
      <c r="D67" s="13"/>
      <c r="E67" s="13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ht="14.25" customHeight="1" x14ac:dyDescent="0.25">
      <c r="A78" s="14"/>
      <c r="B78" s="14"/>
      <c r="C78" s="14"/>
      <c r="D78" s="14"/>
      <c r="E78" s="14"/>
    </row>
    <row r="79" spans="1:5" x14ac:dyDescent="0.25">
      <c r="A79" s="13"/>
      <c r="B79" s="13"/>
      <c r="C79" s="13"/>
      <c r="D79" s="13"/>
      <c r="E79" s="14"/>
    </row>
    <row r="80" spans="1:5" x14ac:dyDescent="0.25">
      <c r="A80" s="13"/>
      <c r="B80" s="13"/>
      <c r="C80" s="13"/>
      <c r="D80" s="13"/>
      <c r="E80" s="13"/>
    </row>
    <row r="81" spans="1:5" x14ac:dyDescent="0.25">
      <c r="A81" s="13"/>
      <c r="B81" s="13"/>
      <c r="C81" s="13"/>
      <c r="D81" s="13"/>
      <c r="E81" s="14"/>
    </row>
    <row r="82" spans="1:5" x14ac:dyDescent="0.25">
      <c r="A82" s="13"/>
      <c r="B82" s="13"/>
      <c r="C82" s="13"/>
      <c r="D82" s="13"/>
      <c r="E82" s="14"/>
    </row>
    <row r="83" spans="1:5" x14ac:dyDescent="0.25">
      <c r="A83" s="13"/>
      <c r="B83" s="13"/>
      <c r="C83" s="13"/>
      <c r="D83" s="13"/>
      <c r="E83" s="14"/>
    </row>
    <row r="84" spans="1:5" x14ac:dyDescent="0.25">
      <c r="A84" s="13"/>
      <c r="B84" s="13"/>
      <c r="C84" s="13"/>
      <c r="D84" s="13"/>
      <c r="E84" s="14"/>
    </row>
    <row r="85" spans="1:5" x14ac:dyDescent="0.25">
      <c r="A85" s="13"/>
      <c r="B85" s="13"/>
      <c r="C85" s="13"/>
      <c r="D85" s="13"/>
      <c r="E85" s="17"/>
    </row>
    <row r="86" spans="1:5" x14ac:dyDescent="0.25">
      <c r="A86" s="13"/>
      <c r="B86" s="13"/>
      <c r="C86" s="13"/>
      <c r="D86" s="13"/>
      <c r="E86" s="14"/>
    </row>
    <row r="87" spans="1:5" x14ac:dyDescent="0.25">
      <c r="A87" s="13"/>
      <c r="B87" s="13"/>
      <c r="C87" s="13"/>
      <c r="D87" s="13"/>
      <c r="E87" s="14"/>
    </row>
    <row r="88" spans="1:5" x14ac:dyDescent="0.25">
      <c r="A88" s="13"/>
      <c r="B88" s="13"/>
      <c r="C88" s="13"/>
      <c r="D88" s="13"/>
      <c r="E88" s="14"/>
    </row>
    <row r="89" spans="1:5" x14ac:dyDescent="0.25">
      <c r="A89" s="13"/>
      <c r="B89" s="13"/>
      <c r="C89" s="13"/>
      <c r="D89" s="13"/>
      <c r="E89" s="14"/>
    </row>
    <row r="90" spans="1:5" x14ac:dyDescent="0.25">
      <c r="A90" s="13"/>
      <c r="B90" s="13"/>
      <c r="C90" s="13"/>
      <c r="D90" s="13"/>
      <c r="E90" s="14"/>
    </row>
    <row r="91" spans="1:5" x14ac:dyDescent="0.25">
      <c r="A91" s="13"/>
      <c r="B91" s="13"/>
      <c r="C91" s="13"/>
      <c r="D91" s="13"/>
      <c r="E91" s="14"/>
    </row>
    <row r="92" spans="1:5" x14ac:dyDescent="0.25">
      <c r="A92" s="13"/>
      <c r="B92" s="13"/>
      <c r="C92" s="13"/>
      <c r="D92" s="13"/>
      <c r="E92" s="14"/>
    </row>
    <row r="93" spans="1:5" x14ac:dyDescent="0.25">
      <c r="A93" s="13"/>
      <c r="B93" s="13"/>
      <c r="C93" s="13"/>
      <c r="D93" s="13"/>
      <c r="E93" s="14"/>
    </row>
    <row r="94" spans="1:5" x14ac:dyDescent="0.25">
      <c r="A94" s="13"/>
      <c r="B94" s="13"/>
      <c r="C94" s="13"/>
      <c r="D94" s="13"/>
      <c r="E94" s="14"/>
    </row>
    <row r="95" spans="1:5" x14ac:dyDescent="0.25">
      <c r="A95" s="13"/>
      <c r="B95" s="13"/>
      <c r="C95" s="13"/>
      <c r="D95" s="13"/>
      <c r="E95" s="14"/>
    </row>
    <row r="96" spans="1:5" x14ac:dyDescent="0.25">
      <c r="A96" s="13"/>
      <c r="B96" s="13"/>
      <c r="C96" s="13"/>
      <c r="D96" s="13"/>
      <c r="E96" s="14"/>
    </row>
    <row r="97" spans="1:5" x14ac:dyDescent="0.25">
      <c r="A97" s="13"/>
      <c r="B97" s="13"/>
      <c r="C97" s="13"/>
      <c r="D97" s="13"/>
      <c r="E97" s="15"/>
    </row>
    <row r="98" spans="1:5" x14ac:dyDescent="0.25">
      <c r="A98" s="13"/>
      <c r="B98" s="13"/>
      <c r="C98" s="13"/>
      <c r="D98" s="13"/>
      <c r="E98" s="14"/>
    </row>
    <row r="99" spans="1:5" x14ac:dyDescent="0.25">
      <c r="A99" s="13"/>
      <c r="B99" s="13"/>
      <c r="C99" s="13"/>
      <c r="D99" s="13"/>
      <c r="E99" s="14"/>
    </row>
    <row r="100" spans="1:5" x14ac:dyDescent="0.25">
      <c r="A100" s="13"/>
      <c r="B100" s="13"/>
      <c r="C100" s="13"/>
      <c r="D100" s="13"/>
      <c r="E100" s="14"/>
    </row>
    <row r="101" spans="1:5" x14ac:dyDescent="0.25">
      <c r="A101" s="13"/>
      <c r="B101" s="13"/>
      <c r="C101" s="13"/>
      <c r="D101" s="13"/>
      <c r="E101" s="14"/>
    </row>
    <row r="102" spans="1:5" x14ac:dyDescent="0.25">
      <c r="A102" s="13"/>
      <c r="B102" s="13"/>
      <c r="C102" s="13"/>
      <c r="D102" s="13"/>
      <c r="E102" s="14"/>
    </row>
    <row r="103" spans="1:5" x14ac:dyDescent="0.25">
      <c r="A103" s="13"/>
      <c r="B103" s="13"/>
      <c r="C103" s="13"/>
      <c r="D103" s="13"/>
      <c r="E103" s="14"/>
    </row>
    <row r="104" spans="1:5" x14ac:dyDescent="0.25">
      <c r="A104" s="13"/>
      <c r="B104" s="13"/>
      <c r="C104" s="13"/>
      <c r="D104" s="13"/>
      <c r="E104" s="14"/>
    </row>
    <row r="105" spans="1:5" x14ac:dyDescent="0.25">
      <c r="A105" s="13"/>
      <c r="B105" s="13"/>
      <c r="C105" s="13"/>
      <c r="D105" s="13"/>
      <c r="E105" s="14"/>
    </row>
    <row r="106" spans="1:5" x14ac:dyDescent="0.25">
      <c r="A106" s="13"/>
      <c r="B106" s="13"/>
      <c r="C106" s="13"/>
      <c r="D106" s="13"/>
      <c r="E106" s="14"/>
    </row>
    <row r="107" spans="1:5" x14ac:dyDescent="0.25">
      <c r="A107" s="13"/>
      <c r="B107" s="13"/>
      <c r="C107" s="13"/>
      <c r="D107" s="13"/>
      <c r="E107" s="14"/>
    </row>
    <row r="108" spans="1:5" x14ac:dyDescent="0.25">
      <c r="A108" s="13"/>
      <c r="B108" s="13"/>
      <c r="C108" s="13"/>
      <c r="D108" s="13"/>
      <c r="E108" s="14"/>
    </row>
    <row r="109" spans="1:5" x14ac:dyDescent="0.25">
      <c r="A109" s="13"/>
      <c r="B109" s="13"/>
      <c r="C109" s="13"/>
      <c r="D109" s="13"/>
      <c r="E109" s="14"/>
    </row>
    <row r="110" spans="1:5" ht="17.25" customHeight="1" x14ac:dyDescent="0.25">
      <c r="A110" s="13"/>
      <c r="B110" s="13"/>
      <c r="C110" s="13"/>
      <c r="D110" s="13"/>
      <c r="E110" s="14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4"/>
    </row>
    <row r="113" spans="1:5" x14ac:dyDescent="0.25">
      <c r="A113" s="13"/>
      <c r="B113" s="13"/>
      <c r="C113" s="13"/>
      <c r="D113" s="13"/>
      <c r="E113" s="14"/>
    </row>
    <row r="114" spans="1:5" x14ac:dyDescent="0.25">
      <c r="A114" s="13"/>
      <c r="B114" s="13"/>
      <c r="C114" s="13"/>
      <c r="D114" s="13"/>
      <c r="E114" s="14"/>
    </row>
    <row r="115" spans="1:5" x14ac:dyDescent="0.25">
      <c r="A115" s="13"/>
      <c r="B115" s="13"/>
      <c r="C115" s="13"/>
      <c r="D115" s="13"/>
      <c r="E115" s="14"/>
    </row>
    <row r="116" spans="1:5" x14ac:dyDescent="0.25">
      <c r="A116" s="13"/>
      <c r="B116" s="13"/>
      <c r="C116" s="13"/>
      <c r="D116" s="13"/>
      <c r="E116" s="15"/>
    </row>
    <row r="117" spans="1:5" x14ac:dyDescent="0.25">
      <c r="A117" s="13"/>
      <c r="B117" s="13"/>
      <c r="C117" s="13"/>
      <c r="D117" s="13"/>
      <c r="E117" s="16"/>
    </row>
    <row r="118" spans="1:5" x14ac:dyDescent="0.25">
      <c r="A118" s="13"/>
      <c r="B118" s="13"/>
      <c r="C118" s="13"/>
      <c r="D118" s="13"/>
      <c r="E118" s="14"/>
    </row>
    <row r="119" spans="1:5" ht="31.5" customHeight="1" x14ac:dyDescent="0.25">
      <c r="A119" s="13"/>
      <c r="B119" s="13"/>
      <c r="C119" s="13"/>
      <c r="D119" s="13"/>
      <c r="E119" s="14"/>
    </row>
    <row r="120" spans="1:5" x14ac:dyDescent="0.25">
      <c r="A120" s="13"/>
      <c r="B120" s="13"/>
      <c r="C120" s="13"/>
      <c r="D120" s="13"/>
      <c r="E120" s="15"/>
    </row>
    <row r="121" spans="1:5" x14ac:dyDescent="0.25">
      <c r="A121" s="13"/>
      <c r="B121" s="13"/>
      <c r="C121" s="13"/>
      <c r="D121" s="13"/>
      <c r="E121" s="14"/>
    </row>
    <row r="122" spans="1:5" ht="15.75" customHeight="1" x14ac:dyDescent="0.25">
      <c r="A122" s="13"/>
      <c r="B122" s="13"/>
      <c r="C122" s="13"/>
      <c r="D122" s="13"/>
      <c r="E122" s="14"/>
    </row>
    <row r="123" spans="1:5" x14ac:dyDescent="0.25">
      <c r="A123" s="13"/>
      <c r="B123" s="13"/>
      <c r="C123" s="13"/>
      <c r="D123" s="13"/>
      <c r="E123" s="14"/>
    </row>
    <row r="124" spans="1:5" x14ac:dyDescent="0.25">
      <c r="A124" s="13"/>
      <c r="B124" s="13"/>
      <c r="C124" s="13"/>
      <c r="D124" s="13"/>
      <c r="E124" s="14"/>
    </row>
    <row r="125" spans="1:5" x14ac:dyDescent="0.25">
      <c r="A125" s="13"/>
      <c r="B125" s="13"/>
      <c r="C125" s="13"/>
      <c r="D125" s="13"/>
      <c r="E125" s="14"/>
    </row>
    <row r="126" spans="1:5" x14ac:dyDescent="0.25">
      <c r="A126" s="13"/>
      <c r="B126" s="13"/>
      <c r="C126" s="13"/>
      <c r="D126" s="13"/>
      <c r="E126" s="14"/>
    </row>
    <row r="127" spans="1:5" x14ac:dyDescent="0.25">
      <c r="A127" s="13"/>
      <c r="B127" s="13"/>
      <c r="C127" s="13"/>
      <c r="D127" s="13"/>
      <c r="E127" s="14"/>
    </row>
    <row r="128" spans="1:5" x14ac:dyDescent="0.25">
      <c r="A128" s="13"/>
      <c r="B128" s="13"/>
      <c r="C128" s="13"/>
      <c r="D128" s="13"/>
      <c r="E128" s="14"/>
    </row>
    <row r="129" spans="1:5" ht="14.25" customHeight="1" x14ac:dyDescent="0.25">
      <c r="A129" s="13"/>
      <c r="B129" s="13"/>
      <c r="C129" s="13"/>
      <c r="D129" s="13"/>
      <c r="E129" s="14"/>
    </row>
    <row r="130" spans="1:5" x14ac:dyDescent="0.25">
      <c r="A130" s="13"/>
      <c r="B130" s="13"/>
      <c r="C130" s="13"/>
      <c r="D130" s="13"/>
      <c r="E130" s="13"/>
    </row>
    <row r="131" spans="1:5" x14ac:dyDescent="0.25">
      <c r="A131" s="13"/>
      <c r="B131" s="13"/>
      <c r="C131" s="13"/>
      <c r="D131" s="13"/>
      <c r="E131" s="14"/>
    </row>
    <row r="132" spans="1:5" x14ac:dyDescent="0.25">
      <c r="A132" s="13"/>
      <c r="B132" s="13"/>
      <c r="C132" s="13"/>
      <c r="D132" s="13"/>
      <c r="E132" s="14"/>
    </row>
    <row r="133" spans="1:5" s="10" customFormat="1" x14ac:dyDescent="0.25">
      <c r="A133" s="13"/>
      <c r="B133" s="13"/>
      <c r="C133" s="13"/>
      <c r="D133" s="13"/>
      <c r="E133" s="15"/>
    </row>
    <row r="134" spans="1:5" x14ac:dyDescent="0.25">
      <c r="A134" s="13"/>
      <c r="B134" s="13"/>
      <c r="C134" s="13"/>
      <c r="D134" s="13"/>
      <c r="E134" s="14"/>
    </row>
    <row r="135" spans="1:5" x14ac:dyDescent="0.25">
      <c r="A135" s="13"/>
      <c r="B135" s="13"/>
      <c r="C135" s="13"/>
      <c r="D135" s="13"/>
      <c r="E135" s="14"/>
    </row>
    <row r="136" spans="1:5" s="10" customFormat="1" x14ac:dyDescent="0.25">
      <c r="A136" s="13"/>
      <c r="B136" s="13"/>
      <c r="C136" s="13"/>
      <c r="D136" s="13"/>
      <c r="E136" s="15"/>
    </row>
    <row r="137" spans="1:5" x14ac:dyDescent="0.25">
      <c r="A137" s="13"/>
      <c r="B137" s="13"/>
      <c r="C137" s="13"/>
      <c r="D137" s="13"/>
      <c r="E137" s="14"/>
    </row>
    <row r="138" spans="1:5" x14ac:dyDescent="0.25">
      <c r="A138" s="13"/>
      <c r="B138" s="13"/>
      <c r="C138" s="13"/>
      <c r="D138" s="13"/>
      <c r="E138" s="14"/>
    </row>
    <row r="139" spans="1:5" x14ac:dyDescent="0.25">
      <c r="A139" s="13"/>
      <c r="B139" s="13"/>
      <c r="C139" s="13"/>
      <c r="D139" s="13"/>
      <c r="E139" s="14"/>
    </row>
    <row r="140" spans="1:5" x14ac:dyDescent="0.25">
      <c r="A140" s="13"/>
      <c r="B140" s="13"/>
      <c r="C140" s="13"/>
      <c r="D140" s="13"/>
      <c r="E140" s="14"/>
    </row>
    <row r="141" spans="1:5" ht="14.25" customHeight="1" x14ac:dyDescent="0.25">
      <c r="A141" s="13"/>
      <c r="B141" s="13"/>
      <c r="C141" s="13"/>
      <c r="D141" s="13"/>
      <c r="E141" s="14"/>
    </row>
    <row r="142" spans="1:5" x14ac:dyDescent="0.25">
      <c r="A142" s="13"/>
      <c r="B142" s="13"/>
      <c r="C142" s="13"/>
      <c r="D142" s="13"/>
      <c r="E142" s="13"/>
    </row>
    <row r="143" spans="1:5" x14ac:dyDescent="0.25">
      <c r="A143" s="13"/>
      <c r="B143" s="13"/>
      <c r="C143" s="13"/>
      <c r="D143" s="13"/>
      <c r="E143" s="14"/>
    </row>
    <row r="144" spans="1:5" x14ac:dyDescent="0.25">
      <c r="A144" s="13"/>
      <c r="B144" s="13"/>
      <c r="C144" s="13"/>
      <c r="D144" s="13"/>
      <c r="E144" s="14"/>
    </row>
    <row r="145" spans="1:5" s="10" customFormat="1" x14ac:dyDescent="0.25">
      <c r="A145" s="13"/>
      <c r="B145" s="13"/>
      <c r="C145" s="13"/>
      <c r="D145" s="13"/>
      <c r="E145" s="13"/>
    </row>
    <row r="146" spans="1:5" s="10" customFormat="1" x14ac:dyDescent="0.25">
      <c r="A146" s="13"/>
      <c r="B146" s="13"/>
      <c r="C146" s="13"/>
      <c r="D146" s="13"/>
      <c r="E146" s="14"/>
    </row>
    <row r="147" spans="1:5" x14ac:dyDescent="0.25">
      <c r="A147" s="13"/>
      <c r="B147" s="13"/>
      <c r="C147" s="13"/>
      <c r="D147" s="13"/>
      <c r="E147" s="14"/>
    </row>
    <row r="148" spans="1:5" x14ac:dyDescent="0.25">
      <c r="A148" s="13"/>
      <c r="B148" s="13"/>
      <c r="C148" s="13"/>
      <c r="D148" s="13"/>
      <c r="E148" s="14"/>
    </row>
    <row r="149" spans="1:5" x14ac:dyDescent="0.25">
      <c r="A149" s="13"/>
      <c r="B149" s="13"/>
      <c r="C149" s="13"/>
      <c r="D149" s="13"/>
      <c r="E149" s="14"/>
    </row>
    <row r="150" spans="1:5" ht="14.25" customHeight="1" x14ac:dyDescent="0.25">
      <c r="A150" s="13"/>
      <c r="B150" s="13"/>
      <c r="C150" s="13"/>
      <c r="D150" s="13"/>
      <c r="E150" s="14"/>
    </row>
    <row r="151" spans="1:5" s="10" customFormat="1" x14ac:dyDescent="0.25">
      <c r="A151" s="13"/>
      <c r="B151" s="13"/>
      <c r="C151" s="13"/>
      <c r="D151" s="13"/>
      <c r="E151" s="13"/>
    </row>
    <row r="152" spans="1:5" x14ac:dyDescent="0.25">
      <c r="A152" s="13"/>
      <c r="B152" s="13"/>
      <c r="C152" s="13"/>
      <c r="D152" s="13"/>
      <c r="E152" s="14"/>
    </row>
    <row r="153" spans="1:5" x14ac:dyDescent="0.25">
      <c r="A153" s="13"/>
      <c r="B153" s="13"/>
      <c r="C153" s="13"/>
      <c r="D153" s="13"/>
      <c r="E153" s="14"/>
    </row>
    <row r="154" spans="1:5" x14ac:dyDescent="0.25">
      <c r="A154" s="13"/>
      <c r="B154" s="13"/>
      <c r="C154" s="13"/>
      <c r="D154" s="13"/>
      <c r="E154" s="14"/>
    </row>
    <row r="155" spans="1:5" x14ac:dyDescent="0.25">
      <c r="A155" s="13"/>
      <c r="B155" s="13"/>
      <c r="C155" s="13"/>
      <c r="D155" s="13"/>
      <c r="E155" s="14"/>
    </row>
    <row r="156" spans="1:5" x14ac:dyDescent="0.25">
      <c r="A156" s="13"/>
      <c r="B156" s="13"/>
      <c r="C156" s="13"/>
      <c r="D156" s="13"/>
      <c r="E156" s="13"/>
    </row>
    <row r="157" spans="1:5" x14ac:dyDescent="0.25">
      <c r="B157" s="18"/>
      <c r="C157" s="18"/>
      <c r="D157" s="18"/>
      <c r="E157" s="18"/>
    </row>
  </sheetData>
  <sheetProtection selectLockedCells="1" selectUnlockedCells="1"/>
  <mergeCells count="3">
    <mergeCell ref="A1:E1"/>
    <mergeCell ref="A5:E5"/>
    <mergeCell ref="A7:E7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firstPageNumber="0" orientation="portrait" r:id="rId1"/>
  <headerFooter alignWithMargins="0">
    <oddHeader>&amp;C&amp;"Times New Roman,Félkövér"&amp;12 5. melléklet
Pécsely Község Önkormányzat 2018. évi gazdálkodásának I. félévi alakulásáról szóló tájékoztatóhoz</oddHeader>
  </headerFooter>
  <rowBreaks count="2" manualBreakCount="2">
    <brk id="58" max="16383" man="1"/>
    <brk id="11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L62"/>
  <sheetViews>
    <sheetView view="pageLayout" zoomScaleNormal="100" zoomScaleSheetLayoutView="89" workbookViewId="0">
      <selection activeCell="A4" sqref="A4:J4"/>
    </sheetView>
  </sheetViews>
  <sheetFormatPr defaultColWidth="9.140625" defaultRowHeight="15.75" x14ac:dyDescent="0.25"/>
  <cols>
    <col min="1" max="1" width="44.140625" style="86" customWidth="1"/>
    <col min="2" max="2" width="18.28515625" style="41" customWidth="1"/>
    <col min="3" max="3" width="17.28515625" style="41" customWidth="1"/>
    <col min="4" max="4" width="17.5703125" style="41" customWidth="1"/>
    <col min="5" max="5" width="19.42578125" style="41" customWidth="1"/>
    <col min="6" max="6" width="45.85546875" style="86" customWidth="1"/>
    <col min="7" max="7" width="18.7109375" style="41" customWidth="1"/>
    <col min="8" max="9" width="18.5703125" style="41" customWidth="1"/>
    <col min="10" max="10" width="18.5703125" style="41" bestFit="1" customWidth="1"/>
    <col min="11" max="11" width="9.140625" style="41"/>
    <col min="12" max="12" width="10.5703125" style="41" customWidth="1"/>
    <col min="13" max="13" width="9.140625" style="41"/>
    <col min="14" max="14" width="12.28515625" style="41" customWidth="1"/>
    <col min="15" max="16384" width="9.140625" style="41"/>
  </cols>
  <sheetData>
    <row r="2" spans="1:12" x14ac:dyDescent="0.25">
      <c r="F2" s="87"/>
      <c r="G2" s="88"/>
      <c r="H2" s="88"/>
      <c r="I2" s="88"/>
      <c r="J2" s="88"/>
    </row>
    <row r="4" spans="1:12" ht="15.75" customHeight="1" x14ac:dyDescent="0.25">
      <c r="A4" s="314" t="s">
        <v>320</v>
      </c>
      <c r="B4" s="314"/>
      <c r="C4" s="314"/>
      <c r="D4" s="314"/>
      <c r="E4" s="314"/>
      <c r="F4" s="314"/>
      <c r="G4" s="314"/>
      <c r="H4" s="314"/>
      <c r="I4" s="314"/>
      <c r="J4" s="314"/>
    </row>
    <row r="6" spans="1:12" s="86" customFormat="1" ht="31.5" x14ac:dyDescent="0.25">
      <c r="A6" s="95" t="s">
        <v>92</v>
      </c>
      <c r="B6" s="4" t="s">
        <v>345</v>
      </c>
      <c r="C6" s="4" t="s">
        <v>346</v>
      </c>
      <c r="D6" s="4" t="s">
        <v>359</v>
      </c>
      <c r="E6" s="4" t="s">
        <v>358</v>
      </c>
      <c r="F6" s="95" t="s">
        <v>93</v>
      </c>
      <c r="G6" s="4" t="s">
        <v>345</v>
      </c>
      <c r="H6" s="4" t="s">
        <v>346</v>
      </c>
      <c r="I6" s="4" t="s">
        <v>359</v>
      </c>
      <c r="J6" s="4" t="s">
        <v>358</v>
      </c>
    </row>
    <row r="7" spans="1:12" ht="31.5" x14ac:dyDescent="0.25">
      <c r="A7" s="89" t="s">
        <v>94</v>
      </c>
      <c r="B7" s="42">
        <f>'1.sz.tábla'!B7</f>
        <v>33655434</v>
      </c>
      <c r="C7" s="42">
        <f>'1.sz.tábla'!C7</f>
        <v>34003915</v>
      </c>
      <c r="D7" s="42">
        <f>'1.sz.tábla'!D7</f>
        <v>25436641</v>
      </c>
      <c r="E7" s="267">
        <f>'1.sz.tábla'!E7</f>
        <v>74.805036420071048</v>
      </c>
      <c r="F7" s="90" t="s">
        <v>79</v>
      </c>
      <c r="G7" s="42">
        <f>'3.tábla'!B7</f>
        <v>17970857</v>
      </c>
      <c r="H7" s="42">
        <f>'3.tábla'!C7</f>
        <v>19118089</v>
      </c>
      <c r="I7" s="42">
        <f>'3.tábla'!D7</f>
        <v>8411172</v>
      </c>
      <c r="J7" s="267">
        <f>'3.tábla'!E7</f>
        <v>43.995882642872935</v>
      </c>
    </row>
    <row r="8" spans="1:12" x14ac:dyDescent="0.25">
      <c r="A8" s="89" t="s">
        <v>95</v>
      </c>
      <c r="B8" s="42">
        <f>'1.sz.tábla'!B9</f>
        <v>20250000</v>
      </c>
      <c r="C8" s="42">
        <f>'1.sz.tábla'!C9</f>
        <v>20250000</v>
      </c>
      <c r="D8" s="42">
        <f>'1.sz.tábla'!D9</f>
        <v>11607518</v>
      </c>
      <c r="E8" s="267">
        <f>'1.sz.tábla'!E9</f>
        <v>57.321076543209884</v>
      </c>
      <c r="F8" s="90" t="s">
        <v>357</v>
      </c>
      <c r="G8" s="91">
        <f>'3.tábla'!B8</f>
        <v>3557552</v>
      </c>
      <c r="H8" s="91">
        <f>'3.tábla'!C8</f>
        <v>3713552</v>
      </c>
      <c r="I8" s="91">
        <f>'3.tábla'!D8</f>
        <v>1584000</v>
      </c>
      <c r="J8" s="289">
        <f>'3.tábla'!E8</f>
        <v>42.65457976621844</v>
      </c>
    </row>
    <row r="9" spans="1:12" x14ac:dyDescent="0.25">
      <c r="A9" s="90" t="s">
        <v>96</v>
      </c>
      <c r="B9" s="42">
        <f>'1.sz.tábla'!B10</f>
        <v>7100000</v>
      </c>
      <c r="C9" s="42">
        <f>'1.sz.tábla'!C10</f>
        <v>7862520</v>
      </c>
      <c r="D9" s="42">
        <f>'1.sz.tábla'!D10</f>
        <v>5022049</v>
      </c>
      <c r="E9" s="267">
        <f>'1.sz.tábla'!E10</f>
        <v>63.873274726169214</v>
      </c>
      <c r="F9" s="90" t="s">
        <v>97</v>
      </c>
      <c r="G9" s="42">
        <f>'3.tábla'!B9</f>
        <v>30091000</v>
      </c>
      <c r="H9" s="42">
        <f>'3.tábla'!C9</f>
        <v>30311320</v>
      </c>
      <c r="I9" s="42">
        <f>'3.tábla'!D9</f>
        <v>12248453</v>
      </c>
      <c r="J9" s="267">
        <f>'3.tábla'!E9</f>
        <v>40.408840657549725</v>
      </c>
      <c r="L9" s="84"/>
    </row>
    <row r="10" spans="1:12" ht="31.5" x14ac:dyDescent="0.25">
      <c r="A10" s="89" t="s">
        <v>98</v>
      </c>
      <c r="B10" s="42">
        <f>'1.sz.tábla'!B12</f>
        <v>0</v>
      </c>
      <c r="C10" s="42">
        <f>'1.sz.tábla'!C12</f>
        <v>0</v>
      </c>
      <c r="D10" s="42">
        <f>'1.sz.tábla'!D12</f>
        <v>0</v>
      </c>
      <c r="E10" s="267">
        <f>'1.sz.tábla'!E12</f>
        <v>0</v>
      </c>
      <c r="F10" s="90" t="s">
        <v>80</v>
      </c>
      <c r="G10" s="42">
        <f>'3.tábla'!B47</f>
        <v>3704000</v>
      </c>
      <c r="H10" s="42">
        <f>'3.tábla'!C47</f>
        <v>3704000</v>
      </c>
      <c r="I10" s="42">
        <f>'3.tábla'!D47</f>
        <v>484245</v>
      </c>
      <c r="J10" s="267">
        <f>'3.tábla'!E47</f>
        <v>13.073569114470843</v>
      </c>
    </row>
    <row r="11" spans="1:12" x14ac:dyDescent="0.25">
      <c r="A11" s="90"/>
      <c r="B11" s="92"/>
      <c r="C11" s="92"/>
      <c r="D11" s="92"/>
      <c r="E11" s="267"/>
      <c r="F11" s="90" t="s">
        <v>78</v>
      </c>
      <c r="G11" s="42">
        <f>'3.tábla'!B34</f>
        <v>14910585</v>
      </c>
      <c r="H11" s="42">
        <f>'3.tábla'!C34</f>
        <v>14910585</v>
      </c>
      <c r="I11" s="42">
        <f>'3.tábla'!D34</f>
        <v>7018192</v>
      </c>
      <c r="J11" s="267">
        <f>'3.tábla'!E34</f>
        <v>47.06852212706611</v>
      </c>
    </row>
    <row r="12" spans="1:12" x14ac:dyDescent="0.25">
      <c r="A12" s="90"/>
      <c r="B12" s="92"/>
      <c r="C12" s="92"/>
      <c r="D12" s="92"/>
      <c r="E12" s="267"/>
      <c r="F12" s="90" t="s">
        <v>214</v>
      </c>
      <c r="G12" s="42">
        <f>'3.tábla'!B33</f>
        <v>27305</v>
      </c>
      <c r="H12" s="42">
        <f>'3.tábla'!C33</f>
        <v>27305</v>
      </c>
      <c r="I12" s="42">
        <f>'3.tábla'!D33</f>
        <v>27305</v>
      </c>
      <c r="J12" s="267">
        <f>'3.tábla'!E33</f>
        <v>100</v>
      </c>
    </row>
    <row r="13" spans="1:12" ht="31.5" x14ac:dyDescent="0.25">
      <c r="A13" s="89"/>
      <c r="B13" s="92"/>
      <c r="C13" s="92"/>
      <c r="D13" s="92"/>
      <c r="E13" s="267"/>
      <c r="F13" s="90" t="s">
        <v>215</v>
      </c>
      <c r="G13" s="42">
        <f>'4. sz. tábla'!B5</f>
        <v>14733280</v>
      </c>
      <c r="H13" s="42">
        <f>'4. sz. tábla'!C5</f>
        <v>14733280</v>
      </c>
      <c r="I13" s="42">
        <f>'4. sz. tábla'!D5</f>
        <v>6960887</v>
      </c>
      <c r="J13" s="267">
        <f>'4. sz. tábla'!E5</f>
        <v>47.2460103927978</v>
      </c>
    </row>
    <row r="14" spans="1:12" ht="31.5" x14ac:dyDescent="0.25">
      <c r="A14" s="93"/>
      <c r="B14" s="92"/>
      <c r="C14" s="92"/>
      <c r="D14" s="92"/>
      <c r="E14" s="267"/>
      <c r="F14" s="94" t="s">
        <v>216</v>
      </c>
      <c r="G14" s="91">
        <f>'4. sz. tábla'!B14</f>
        <v>150000</v>
      </c>
      <c r="H14" s="91">
        <f>'4. sz. tábla'!C14</f>
        <v>150000</v>
      </c>
      <c r="I14" s="91">
        <f>'4. sz. tábla'!D14</f>
        <v>30000</v>
      </c>
      <c r="J14" s="289">
        <f>'4. sz. tábla'!E14</f>
        <v>20</v>
      </c>
    </row>
    <row r="15" spans="1:12" ht="31.5" x14ac:dyDescent="0.25">
      <c r="A15" s="89"/>
      <c r="B15" s="92"/>
      <c r="C15" s="92"/>
      <c r="D15" s="92"/>
      <c r="E15" s="267"/>
      <c r="F15" s="90" t="s">
        <v>217</v>
      </c>
      <c r="G15" s="92">
        <v>0</v>
      </c>
      <c r="H15" s="92">
        <v>0</v>
      </c>
      <c r="I15" s="92">
        <v>0</v>
      </c>
      <c r="J15" s="267">
        <v>0</v>
      </c>
    </row>
    <row r="16" spans="1:12" x14ac:dyDescent="0.25">
      <c r="A16" s="90"/>
      <c r="B16" s="92"/>
      <c r="C16" s="92"/>
      <c r="D16" s="92"/>
      <c r="E16" s="267"/>
      <c r="F16" s="90" t="s">
        <v>209</v>
      </c>
      <c r="G16" s="42">
        <f>'1.sz.tábla'!B31</f>
        <v>3900984</v>
      </c>
      <c r="H16" s="42">
        <f>'1.sz.tábla'!C31</f>
        <v>4607775</v>
      </c>
      <c r="I16" s="42">
        <f>'1.sz.tábla'!D31</f>
        <v>0</v>
      </c>
      <c r="J16" s="267">
        <f>'1.sz.tábla'!E31</f>
        <v>0</v>
      </c>
    </row>
    <row r="17" spans="1:10" s="98" customFormat="1" x14ac:dyDescent="0.25">
      <c r="A17" s="95" t="s">
        <v>99</v>
      </c>
      <c r="B17" s="97">
        <f>SUM(B7:B16)</f>
        <v>61005434</v>
      </c>
      <c r="C17" s="97">
        <f>SUM(C7:C16)</f>
        <v>62116435</v>
      </c>
      <c r="D17" s="97">
        <f>SUM(D7:D16)</f>
        <v>42066208</v>
      </c>
      <c r="E17" s="283">
        <f>D17/C17*100</f>
        <v>67.721542615895459</v>
      </c>
      <c r="F17" s="95" t="s">
        <v>100</v>
      </c>
      <c r="G17" s="97">
        <f>G7+G8+G9+G10+G11+G16</f>
        <v>74134978</v>
      </c>
      <c r="H17" s="97">
        <f>H7+H8+H9+H10+H11+H16</f>
        <v>76365321</v>
      </c>
      <c r="I17" s="97">
        <f>I7+I8+I9+I10+I11+I16</f>
        <v>29746062</v>
      </c>
      <c r="J17" s="283">
        <f>I17/H17*100</f>
        <v>38.952317112632841</v>
      </c>
    </row>
    <row r="18" spans="1:10" s="98" customFormat="1" x14ac:dyDescent="0.25">
      <c r="A18" s="95" t="s">
        <v>101</v>
      </c>
      <c r="B18" s="97">
        <f>B17-G17</f>
        <v>-13129544</v>
      </c>
      <c r="C18" s="97">
        <f>C17-J17</f>
        <v>62116396.047682889</v>
      </c>
      <c r="D18" s="97">
        <f>D17-K17</f>
        <v>42066208</v>
      </c>
      <c r="E18" s="283">
        <f>D18/C18*100</f>
        <v>67.721585083121042</v>
      </c>
      <c r="F18" s="95" t="s">
        <v>102</v>
      </c>
      <c r="G18" s="96"/>
      <c r="H18" s="96"/>
      <c r="I18" s="96"/>
      <c r="J18" s="266"/>
    </row>
    <row r="19" spans="1:10" s="98" customFormat="1" ht="31.5" x14ac:dyDescent="0.25">
      <c r="A19" s="95" t="s">
        <v>103</v>
      </c>
      <c r="B19" s="97">
        <f>SUM(B20)</f>
        <v>38541663</v>
      </c>
      <c r="C19" s="97">
        <f>SUM(C20)</f>
        <v>42894625</v>
      </c>
      <c r="D19" s="97">
        <f>SUM(D20)</f>
        <v>42894625</v>
      </c>
      <c r="E19" s="283">
        <f>SUM(E20)</f>
        <v>100</v>
      </c>
      <c r="F19" s="95" t="s">
        <v>104</v>
      </c>
      <c r="G19" s="99">
        <f>SUM(G20:G21)</f>
        <v>1691641</v>
      </c>
      <c r="H19" s="99">
        <f>SUM(H20:H21)</f>
        <v>1691641</v>
      </c>
      <c r="I19" s="99">
        <f>SUM(I20:I21)</f>
        <v>1435226</v>
      </c>
      <c r="J19" s="290">
        <f>SUM(J20:J21)</f>
        <v>84.842233074275214</v>
      </c>
    </row>
    <row r="20" spans="1:10" x14ac:dyDescent="0.25">
      <c r="A20" s="90" t="s">
        <v>105</v>
      </c>
      <c r="B20" s="42">
        <f>'2.sz.tábla'!B79</f>
        <v>38541663</v>
      </c>
      <c r="C20" s="42">
        <f>'2.sz.tábla'!C79</f>
        <v>42894625</v>
      </c>
      <c r="D20" s="42">
        <f>'2.sz.tábla'!D79</f>
        <v>42894625</v>
      </c>
      <c r="E20" s="267">
        <f>'2.sz.tábla'!E79</f>
        <v>100</v>
      </c>
      <c r="F20" s="90" t="s">
        <v>219</v>
      </c>
      <c r="G20" s="42">
        <f>'1.sz.tábla'!B36</f>
        <v>1691641</v>
      </c>
      <c r="H20" s="42">
        <f>'1.sz.tábla'!C36</f>
        <v>1691641</v>
      </c>
      <c r="I20" s="42">
        <f>'1.sz.tábla'!D36</f>
        <v>1435226</v>
      </c>
      <c r="J20" s="267">
        <f>'1.sz.tábla'!E36</f>
        <v>84.842233074275214</v>
      </c>
    </row>
    <row r="21" spans="1:10" s="98" customFormat="1" ht="31.5" x14ac:dyDescent="0.25">
      <c r="A21" s="95" t="s">
        <v>106</v>
      </c>
      <c r="B21" s="187">
        <f>SUM(B22:B25)</f>
        <v>544230</v>
      </c>
      <c r="C21" s="187">
        <f>SUM(C22:C25)</f>
        <v>544230</v>
      </c>
      <c r="D21" s="187">
        <f>SUM(D22:D25)</f>
        <v>303585</v>
      </c>
      <c r="E21" s="284">
        <f>SUM(E22:E25)</f>
        <v>55.782481671352194</v>
      </c>
      <c r="F21" s="90" t="s">
        <v>220</v>
      </c>
      <c r="G21" s="92"/>
      <c r="H21" s="92"/>
      <c r="I21" s="92"/>
      <c r="J21" s="267"/>
    </row>
    <row r="22" spans="1:10" x14ac:dyDescent="0.25">
      <c r="A22" s="90" t="s">
        <v>107</v>
      </c>
      <c r="B22" s="92"/>
      <c r="C22" s="92"/>
      <c r="D22" s="92"/>
      <c r="E22" s="92"/>
      <c r="F22" s="90" t="s">
        <v>221</v>
      </c>
      <c r="G22" s="92"/>
      <c r="H22" s="92"/>
      <c r="I22" s="92"/>
      <c r="J22" s="267"/>
    </row>
    <row r="23" spans="1:10" x14ac:dyDescent="0.25">
      <c r="A23" s="90" t="s">
        <v>108</v>
      </c>
      <c r="B23" s="92"/>
      <c r="C23" s="92"/>
      <c r="D23" s="92"/>
      <c r="E23" s="92"/>
      <c r="F23" s="94"/>
      <c r="G23" s="92"/>
      <c r="H23" s="92"/>
      <c r="I23" s="92"/>
      <c r="J23" s="267"/>
    </row>
    <row r="24" spans="1:10" x14ac:dyDescent="0.25">
      <c r="A24" s="90" t="s">
        <v>273</v>
      </c>
      <c r="B24" s="42">
        <f>'2.sz.tábla'!B93</f>
        <v>544230</v>
      </c>
      <c r="C24" s="42">
        <f>'2.sz.tábla'!C93</f>
        <v>544230</v>
      </c>
      <c r="D24" s="42">
        <f>'2.sz.tábla'!D93</f>
        <v>303585</v>
      </c>
      <c r="E24" s="267">
        <f>'2.sz.tábla'!E93</f>
        <v>55.782481671352194</v>
      </c>
      <c r="F24" s="94"/>
      <c r="G24" s="92"/>
      <c r="H24" s="92"/>
      <c r="I24" s="92"/>
      <c r="J24" s="267"/>
    </row>
    <row r="25" spans="1:10" x14ac:dyDescent="0.25">
      <c r="A25" s="90" t="s">
        <v>304</v>
      </c>
      <c r="B25" s="42">
        <f>'2.sz.tábla'!B92</f>
        <v>0</v>
      </c>
      <c r="C25" s="42">
        <f>'2.sz.tábla'!C92</f>
        <v>0</v>
      </c>
      <c r="D25" s="42">
        <f>'2.sz.tábla'!D92</f>
        <v>0</v>
      </c>
      <c r="E25" s="42">
        <f>'2.sz.tábla'!E92</f>
        <v>0</v>
      </c>
      <c r="F25" s="94"/>
      <c r="G25" s="92"/>
      <c r="H25" s="92"/>
      <c r="I25" s="92"/>
      <c r="J25" s="267"/>
    </row>
    <row r="26" spans="1:10" x14ac:dyDescent="0.25">
      <c r="A26" s="95" t="s">
        <v>109</v>
      </c>
      <c r="B26" s="97">
        <f>B17+B19+B21</f>
        <v>100091327</v>
      </c>
      <c r="C26" s="97">
        <f>C17+C19+C21</f>
        <v>105555290</v>
      </c>
      <c r="D26" s="97">
        <f>D17+D19+D21</f>
        <v>85264418</v>
      </c>
      <c r="E26" s="283">
        <f>D26/C26*100</f>
        <v>80.777020270608887</v>
      </c>
      <c r="F26" s="95" t="s">
        <v>110</v>
      </c>
      <c r="G26" s="97">
        <f>G19+G17</f>
        <v>75826619</v>
      </c>
      <c r="H26" s="97">
        <f>H19+H17</f>
        <v>78056962</v>
      </c>
      <c r="I26" s="97">
        <f>I19+I17</f>
        <v>31181288</v>
      </c>
      <c r="J26" s="283">
        <f>I26/H26*100</f>
        <v>39.946837797761077</v>
      </c>
    </row>
    <row r="27" spans="1:10" x14ac:dyDescent="0.25">
      <c r="J27" s="268"/>
    </row>
    <row r="28" spans="1:10" ht="15.75" customHeight="1" x14ac:dyDescent="0.25">
      <c r="A28" s="313" t="s">
        <v>305</v>
      </c>
      <c r="B28" s="313"/>
      <c r="C28" s="313"/>
      <c r="D28" s="313"/>
      <c r="E28" s="313"/>
      <c r="F28" s="313"/>
      <c r="G28" s="313"/>
      <c r="H28" s="186"/>
      <c r="I28" s="281"/>
      <c r="J28" s="85"/>
    </row>
    <row r="30" spans="1:10" s="86" customFormat="1" ht="31.5" x14ac:dyDescent="0.25">
      <c r="A30" s="95" t="s">
        <v>111</v>
      </c>
      <c r="B30" s="4" t="str">
        <f>B6</f>
        <v>2018. évi eredeti előirányzat</v>
      </c>
      <c r="C30" s="4" t="str">
        <f t="shared" ref="C30:E30" si="0">C6</f>
        <v>I. Módosítás</v>
      </c>
      <c r="D30" s="4" t="str">
        <f t="shared" si="0"/>
        <v>Teljesítés 2018.06.30.</v>
      </c>
      <c r="E30" s="4" t="str">
        <f t="shared" si="0"/>
        <v>%</v>
      </c>
      <c r="F30" s="95" t="s">
        <v>112</v>
      </c>
      <c r="G30" s="4" t="str">
        <f>G6</f>
        <v>2018. évi eredeti előirányzat</v>
      </c>
      <c r="H30" s="4" t="str">
        <f t="shared" ref="H30:J30" si="1">H6</f>
        <v>I. Módosítás</v>
      </c>
      <c r="I30" s="4" t="str">
        <f t="shared" si="1"/>
        <v>Teljesítés 2018.06.30.</v>
      </c>
      <c r="J30" s="4" t="str">
        <f t="shared" si="1"/>
        <v>%</v>
      </c>
    </row>
    <row r="31" spans="1:10" ht="31.5" x14ac:dyDescent="0.25">
      <c r="A31" s="89" t="s">
        <v>113</v>
      </c>
      <c r="B31" s="42">
        <f>'1.sz.tábla'!B8</f>
        <v>0</v>
      </c>
      <c r="C31" s="42">
        <f>'1.sz.tábla'!C8</f>
        <v>0</v>
      </c>
      <c r="D31" s="42">
        <f>'1.sz.tábla'!D8</f>
        <v>0</v>
      </c>
      <c r="E31" s="267">
        <f>'1.sz.tábla'!E8</f>
        <v>0</v>
      </c>
      <c r="F31" s="90" t="s">
        <v>114</v>
      </c>
      <c r="G31" s="42">
        <f>'1.sz.tábla'!B27</f>
        <v>2400000</v>
      </c>
      <c r="H31" s="42">
        <f>'1.sz.tábla'!C27</f>
        <v>5067000</v>
      </c>
      <c r="I31" s="42">
        <f>'1.sz.tábla'!D27</f>
        <v>161177</v>
      </c>
      <c r="J31" s="267">
        <f>'1.sz.tábla'!E27</f>
        <v>40.294249999999998</v>
      </c>
    </row>
    <row r="32" spans="1:10" x14ac:dyDescent="0.25">
      <c r="A32" s="90" t="s">
        <v>115</v>
      </c>
      <c r="B32" s="42">
        <v>0</v>
      </c>
      <c r="C32" s="42">
        <f>'1.sz.tábla'!C11:E11</f>
        <v>177480</v>
      </c>
      <c r="D32" s="42">
        <f>'1.sz.tábla'!D11:F11</f>
        <v>177480</v>
      </c>
      <c r="E32" s="267">
        <f>'1.sz.tábla'!E11:F11</f>
        <v>100</v>
      </c>
      <c r="F32" s="90" t="s">
        <v>116</v>
      </c>
      <c r="G32" s="42"/>
      <c r="H32" s="42"/>
      <c r="I32" s="42"/>
      <c r="J32" s="42"/>
    </row>
    <row r="33" spans="1:10" x14ac:dyDescent="0.25">
      <c r="A33" s="90" t="s">
        <v>117</v>
      </c>
      <c r="B33" s="42">
        <f>'1.sz.tábla'!B13</f>
        <v>0</v>
      </c>
      <c r="C33" s="42">
        <f>'1.sz.tábla'!C13</f>
        <v>0</v>
      </c>
      <c r="D33" s="42">
        <f>'1.sz.tábla'!D13</f>
        <v>0</v>
      </c>
      <c r="E33" s="267">
        <v>0</v>
      </c>
      <c r="F33" s="90" t="s">
        <v>118</v>
      </c>
      <c r="G33" s="42">
        <f>'1.sz.tábla'!B28</f>
        <v>21789708</v>
      </c>
      <c r="H33" s="42">
        <f>'1.sz.tábla'!C28</f>
        <v>22533808</v>
      </c>
      <c r="I33" s="42">
        <f>'1.sz.tábla'!D28</f>
        <v>6696841</v>
      </c>
      <c r="J33" s="267">
        <f>'1.sz.tábla'!E28</f>
        <v>29.719082544770064</v>
      </c>
    </row>
    <row r="34" spans="1:10" x14ac:dyDescent="0.25">
      <c r="A34" s="90"/>
      <c r="B34" s="92"/>
      <c r="C34" s="92"/>
      <c r="D34" s="92"/>
      <c r="E34" s="267"/>
      <c r="F34" s="90" t="s">
        <v>119</v>
      </c>
      <c r="G34" s="42">
        <f>SUM(G35:G38)</f>
        <v>75000</v>
      </c>
      <c r="H34" s="42">
        <f>SUM(H35:H38)</f>
        <v>75000</v>
      </c>
      <c r="I34" s="42">
        <f>SUM(I35:I38)</f>
        <v>75000</v>
      </c>
      <c r="J34" s="267">
        <f>SUM(J35:J38)</f>
        <v>100</v>
      </c>
    </row>
    <row r="35" spans="1:10" ht="31.5" x14ac:dyDescent="0.25">
      <c r="A35" s="90"/>
      <c r="B35" s="92"/>
      <c r="C35" s="92"/>
      <c r="D35" s="92"/>
      <c r="E35" s="267"/>
      <c r="F35" s="90" t="s">
        <v>120</v>
      </c>
      <c r="G35" s="42"/>
      <c r="H35" s="42"/>
      <c r="I35" s="42"/>
      <c r="J35" s="267"/>
    </row>
    <row r="36" spans="1:10" ht="27" customHeight="1" x14ac:dyDescent="0.25">
      <c r="A36" s="90"/>
      <c r="B36" s="92"/>
      <c r="C36" s="92"/>
      <c r="D36" s="92"/>
      <c r="E36" s="267"/>
      <c r="F36" s="244" t="s">
        <v>121</v>
      </c>
      <c r="G36" s="42">
        <f>'5.sz.tábla '!B26</f>
        <v>75000</v>
      </c>
      <c r="H36" s="42">
        <f>'5.sz.tábla '!C26</f>
        <v>75000</v>
      </c>
      <c r="I36" s="42">
        <f>'5.sz.tábla '!D26</f>
        <v>75000</v>
      </c>
      <c r="J36" s="267">
        <f>'5.sz.tábla '!E26</f>
        <v>100</v>
      </c>
    </row>
    <row r="37" spans="1:10" ht="31.5" x14ac:dyDescent="0.25">
      <c r="A37" s="90"/>
      <c r="B37" s="92"/>
      <c r="C37" s="92"/>
      <c r="D37" s="92"/>
      <c r="E37" s="267"/>
      <c r="F37" s="90" t="s">
        <v>222</v>
      </c>
      <c r="G37" s="100"/>
      <c r="H37" s="92"/>
      <c r="I37" s="92"/>
      <c r="J37" s="267"/>
    </row>
    <row r="38" spans="1:10" ht="31.5" x14ac:dyDescent="0.25">
      <c r="A38" s="90"/>
      <c r="B38" s="92"/>
      <c r="C38" s="92"/>
      <c r="D38" s="92"/>
      <c r="E38" s="267"/>
      <c r="F38" s="90" t="s">
        <v>122</v>
      </c>
      <c r="G38" s="100"/>
      <c r="H38" s="92"/>
      <c r="I38" s="92"/>
      <c r="J38" s="267"/>
    </row>
    <row r="39" spans="1:10" s="98" customFormat="1" x14ac:dyDescent="0.25">
      <c r="A39" s="95" t="s">
        <v>123</v>
      </c>
      <c r="B39" s="96">
        <f>SUM(B31:B37)</f>
        <v>0</v>
      </c>
      <c r="C39" s="97">
        <f t="shared" ref="C39:E39" si="2">SUM(C31:C37)</f>
        <v>177480</v>
      </c>
      <c r="D39" s="97">
        <f t="shared" si="2"/>
        <v>177480</v>
      </c>
      <c r="E39" s="283">
        <f t="shared" si="2"/>
        <v>100</v>
      </c>
      <c r="F39" s="95" t="s">
        <v>124</v>
      </c>
      <c r="G39" s="97">
        <f>SUM(G31:G34)</f>
        <v>24264708</v>
      </c>
      <c r="H39" s="97">
        <f>SUM(H31:H34)</f>
        <v>27675808</v>
      </c>
      <c r="I39" s="97">
        <f>SUM(I31:I34)</f>
        <v>6933018</v>
      </c>
      <c r="J39" s="266">
        <f>I39/H39*100</f>
        <v>25.050824171059432</v>
      </c>
    </row>
    <row r="40" spans="1:10" s="98" customFormat="1" x14ac:dyDescent="0.25">
      <c r="A40" s="95" t="s">
        <v>125</v>
      </c>
      <c r="B40" s="96"/>
      <c r="C40" s="96"/>
      <c r="D40" s="96"/>
      <c r="E40" s="266"/>
      <c r="F40" s="95" t="s">
        <v>126</v>
      </c>
      <c r="G40" s="97">
        <f>B39-G39</f>
        <v>-24264708</v>
      </c>
      <c r="H40" s="97">
        <f>C39-H39</f>
        <v>-27498328</v>
      </c>
      <c r="I40" s="97">
        <f>D39-I39</f>
        <v>-6755538</v>
      </c>
      <c r="J40" s="266">
        <f>E39-J39</f>
        <v>74.949175828940568</v>
      </c>
    </row>
    <row r="41" spans="1:10" s="98" customFormat="1" ht="31.5" x14ac:dyDescent="0.25">
      <c r="A41" s="95" t="s">
        <v>127</v>
      </c>
      <c r="B41" s="96"/>
      <c r="C41" s="96"/>
      <c r="D41" s="96"/>
      <c r="E41" s="266"/>
      <c r="F41" s="95" t="s">
        <v>128</v>
      </c>
      <c r="G41" s="97">
        <f>SUM(G42:G43)</f>
        <v>0</v>
      </c>
      <c r="H41" s="96"/>
      <c r="I41" s="96"/>
      <c r="J41" s="267"/>
    </row>
    <row r="42" spans="1:10" x14ac:dyDescent="0.25">
      <c r="A42" s="90" t="s">
        <v>129</v>
      </c>
      <c r="B42" s="92">
        <v>0</v>
      </c>
      <c r="C42" s="92">
        <v>0</v>
      </c>
      <c r="D42" s="92">
        <v>0</v>
      </c>
      <c r="E42" s="267">
        <v>0</v>
      </c>
      <c r="F42" s="90" t="s">
        <v>130</v>
      </c>
      <c r="G42" s="100"/>
      <c r="H42" s="92"/>
      <c r="I42" s="92"/>
      <c r="J42" s="267"/>
    </row>
    <row r="43" spans="1:10" ht="31.5" x14ac:dyDescent="0.25">
      <c r="A43" s="95" t="s">
        <v>131</v>
      </c>
      <c r="B43" s="96">
        <f>SUM(B44:B45)</f>
        <v>0</v>
      </c>
      <c r="C43" s="96">
        <f t="shared" ref="C43:E43" si="3">SUM(C44:C45)</f>
        <v>0</v>
      </c>
      <c r="D43" s="96">
        <f t="shared" si="3"/>
        <v>0</v>
      </c>
      <c r="E43" s="266">
        <f t="shared" si="3"/>
        <v>0</v>
      </c>
      <c r="F43" s="90" t="s">
        <v>132</v>
      </c>
      <c r="G43" s="100"/>
      <c r="H43" s="92"/>
      <c r="I43" s="92"/>
      <c r="J43" s="267"/>
    </row>
    <row r="44" spans="1:10" x14ac:dyDescent="0.25">
      <c r="A44" s="90" t="s">
        <v>133</v>
      </c>
      <c r="B44" s="92"/>
      <c r="C44" s="92"/>
      <c r="D44" s="92"/>
      <c r="E44" s="267"/>
      <c r="F44" s="90" t="s">
        <v>218</v>
      </c>
      <c r="G44" s="100"/>
      <c r="H44" s="92"/>
      <c r="I44" s="92"/>
      <c r="J44" s="267"/>
    </row>
    <row r="45" spans="1:10" x14ac:dyDescent="0.25">
      <c r="A45" s="90" t="s">
        <v>134</v>
      </c>
      <c r="B45" s="92"/>
      <c r="C45" s="92"/>
      <c r="D45" s="92"/>
      <c r="E45" s="267"/>
      <c r="F45" s="90"/>
      <c r="G45" s="100"/>
      <c r="H45" s="92"/>
      <c r="I45" s="92"/>
      <c r="J45" s="267"/>
    </row>
    <row r="46" spans="1:10" s="98" customFormat="1" x14ac:dyDescent="0.25">
      <c r="A46" s="95" t="s">
        <v>135</v>
      </c>
      <c r="B46" s="96">
        <f>B39+B41+B43</f>
        <v>0</v>
      </c>
      <c r="C46" s="245">
        <f t="shared" ref="C46:E46" si="4">C39+C41+C43</f>
        <v>177480</v>
      </c>
      <c r="D46" s="245">
        <f t="shared" si="4"/>
        <v>177480</v>
      </c>
      <c r="E46" s="291">
        <f t="shared" si="4"/>
        <v>100</v>
      </c>
      <c r="F46" s="95" t="s">
        <v>136</v>
      </c>
      <c r="G46" s="97">
        <f>G39+G41</f>
        <v>24264708</v>
      </c>
      <c r="H46" s="97">
        <f>H39+H41</f>
        <v>27675808</v>
      </c>
      <c r="I46" s="97">
        <f>I39+I41</f>
        <v>6933018</v>
      </c>
      <c r="J46" s="266">
        <f>J39+J41</f>
        <v>25.050824171059432</v>
      </c>
    </row>
    <row r="47" spans="1:10" x14ac:dyDescent="0.25">
      <c r="A47" s="102"/>
      <c r="B47" s="101"/>
      <c r="C47" s="101"/>
      <c r="D47" s="101"/>
      <c r="E47" s="101"/>
      <c r="F47" s="102"/>
      <c r="G47" s="101"/>
      <c r="H47" s="101"/>
      <c r="I47" s="101"/>
      <c r="J47" s="101"/>
    </row>
    <row r="48" spans="1:10" ht="15.75" customHeight="1" x14ac:dyDescent="0.25">
      <c r="A48" s="313" t="s">
        <v>356</v>
      </c>
      <c r="B48" s="313"/>
      <c r="C48" s="313"/>
      <c r="D48" s="313"/>
      <c r="E48" s="313"/>
      <c r="F48" s="313"/>
      <c r="G48" s="313"/>
      <c r="H48" s="313"/>
      <c r="I48" s="313"/>
      <c r="J48" s="313"/>
    </row>
    <row r="50" spans="1:10" s="86" customFormat="1" ht="31.5" x14ac:dyDescent="0.25">
      <c r="A50" s="95" t="s">
        <v>137</v>
      </c>
      <c r="B50" s="4" t="str">
        <f>B6</f>
        <v>2018. évi eredeti előirányzat</v>
      </c>
      <c r="C50" s="4" t="str">
        <f t="shared" ref="C50:E50" si="5">C6</f>
        <v>I. Módosítás</v>
      </c>
      <c r="D50" s="4" t="str">
        <f t="shared" si="5"/>
        <v>Teljesítés 2018.06.30.</v>
      </c>
      <c r="E50" s="4" t="str">
        <f t="shared" si="5"/>
        <v>%</v>
      </c>
      <c r="F50" s="95" t="s">
        <v>138</v>
      </c>
      <c r="G50" s="4" t="str">
        <f>G6</f>
        <v>2018. évi eredeti előirányzat</v>
      </c>
      <c r="H50" s="4" t="str">
        <f>H6</f>
        <v>I. Módosítás</v>
      </c>
      <c r="I50" s="4" t="str">
        <f>I6</f>
        <v>Teljesítés 2018.06.30.</v>
      </c>
      <c r="J50" s="4" t="str">
        <f>J6</f>
        <v>%</v>
      </c>
    </row>
    <row r="51" spans="1:10" x14ac:dyDescent="0.25">
      <c r="A51" s="90" t="s">
        <v>139</v>
      </c>
      <c r="B51" s="100">
        <f>B17</f>
        <v>61005434</v>
      </c>
      <c r="C51" s="100">
        <f>C17</f>
        <v>62116435</v>
      </c>
      <c r="D51" s="100">
        <f>D17</f>
        <v>42066208</v>
      </c>
      <c r="E51" s="292">
        <f>E17</f>
        <v>67.721542615895459</v>
      </c>
      <c r="F51" s="90" t="s">
        <v>140</v>
      </c>
      <c r="G51" s="42">
        <f>G17</f>
        <v>74134978</v>
      </c>
      <c r="H51" s="42">
        <f>H17</f>
        <v>76365321</v>
      </c>
      <c r="I51" s="42">
        <f>I17</f>
        <v>29746062</v>
      </c>
      <c r="J51" s="267">
        <f>J17</f>
        <v>38.952317112632841</v>
      </c>
    </row>
    <row r="52" spans="1:10" x14ac:dyDescent="0.25">
      <c r="A52" s="90" t="s">
        <v>141</v>
      </c>
      <c r="B52" s="92"/>
      <c r="C52" s="189">
        <f>C39</f>
        <v>177480</v>
      </c>
      <c r="D52" s="189">
        <f>D39</f>
        <v>177480</v>
      </c>
      <c r="E52" s="293">
        <f>E39</f>
        <v>100</v>
      </c>
      <c r="F52" s="90" t="s">
        <v>142</v>
      </c>
      <c r="G52" s="42">
        <f>G39</f>
        <v>24264708</v>
      </c>
      <c r="H52" s="42">
        <f>H39</f>
        <v>27675808</v>
      </c>
      <c r="I52" s="42">
        <f>I39</f>
        <v>6933018</v>
      </c>
      <c r="J52" s="267">
        <f>J39</f>
        <v>25.050824171059432</v>
      </c>
    </row>
    <row r="53" spans="1:10" s="98" customFormat="1" x14ac:dyDescent="0.25">
      <c r="A53" s="95" t="s">
        <v>8</v>
      </c>
      <c r="B53" s="97">
        <f>SUM(B51:B52)</f>
        <v>61005434</v>
      </c>
      <c r="C53" s="97">
        <f>SUM(C51:C52)</f>
        <v>62293915</v>
      </c>
      <c r="D53" s="97">
        <f>SUM(D51:D52)</f>
        <v>42243688</v>
      </c>
      <c r="E53" s="294">
        <f>SUM(E51:E52)</f>
        <v>167.72154261589546</v>
      </c>
      <c r="F53" s="95" t="s">
        <v>21</v>
      </c>
      <c r="G53" s="43">
        <f>SUM(G51:G52)</f>
        <v>98399686</v>
      </c>
      <c r="H53" s="43">
        <f>SUM(H51:H52)</f>
        <v>104041129</v>
      </c>
      <c r="I53" s="43">
        <f>SUM(I51:I52)</f>
        <v>36679080</v>
      </c>
      <c r="J53" s="266">
        <f>SUM(J51:J52)</f>
        <v>64.003141283692273</v>
      </c>
    </row>
    <row r="54" spans="1:10" s="98" customFormat="1" x14ac:dyDescent="0.25">
      <c r="A54" s="95" t="s">
        <v>143</v>
      </c>
      <c r="B54" s="97"/>
      <c r="C54" s="43"/>
      <c r="D54" s="43"/>
      <c r="E54" s="295"/>
      <c r="F54" s="95" t="s">
        <v>144</v>
      </c>
      <c r="G54" s="43">
        <f>G53-B53</f>
        <v>37394252</v>
      </c>
      <c r="H54" s="43">
        <f>H53-C53</f>
        <v>41747214</v>
      </c>
      <c r="I54" s="43">
        <f>I53-D53</f>
        <v>-5564608</v>
      </c>
      <c r="J54" s="266">
        <f>J53-E53</f>
        <v>-103.71840133220319</v>
      </c>
    </row>
    <row r="55" spans="1:10" s="98" customFormat="1" ht="31.5" x14ac:dyDescent="0.25">
      <c r="A55" s="95" t="s">
        <v>145</v>
      </c>
      <c r="B55" s="97">
        <f>SUM(B56:B57)</f>
        <v>38541663</v>
      </c>
      <c r="C55" s="97">
        <f>SUM(C56:C57)</f>
        <v>42894625</v>
      </c>
      <c r="D55" s="97">
        <f>SUM(D56:D57)</f>
        <v>42894625</v>
      </c>
      <c r="E55" s="294">
        <f>SUM(E56:E57)</f>
        <v>200</v>
      </c>
      <c r="F55" s="95" t="s">
        <v>146</v>
      </c>
      <c r="G55" s="43">
        <f>SUM(G56:G57)</f>
        <v>1691641</v>
      </c>
      <c r="H55" s="43">
        <f>SUM(H56:H57)</f>
        <v>1691641</v>
      </c>
      <c r="I55" s="43">
        <f>SUM(I56:I57)</f>
        <v>1435226</v>
      </c>
      <c r="J55" s="266">
        <f>SUM(J56:J57)</f>
        <v>84.842233074275214</v>
      </c>
    </row>
    <row r="56" spans="1:10" ht="31.5" x14ac:dyDescent="0.25">
      <c r="A56" s="90" t="s">
        <v>103</v>
      </c>
      <c r="B56" s="100">
        <f>'2.sz.tábla'!B80</f>
        <v>19500000</v>
      </c>
      <c r="C56" s="100">
        <f>'2.sz.tábla'!C80</f>
        <v>23852962</v>
      </c>
      <c r="D56" s="100">
        <f>'2.sz.tábla'!D80</f>
        <v>23852962</v>
      </c>
      <c r="E56" s="292">
        <f>E19</f>
        <v>100</v>
      </c>
      <c r="F56" s="90" t="s">
        <v>147</v>
      </c>
      <c r="G56" s="42">
        <f>G19</f>
        <v>1691641</v>
      </c>
      <c r="H56" s="42">
        <f>H19</f>
        <v>1691641</v>
      </c>
      <c r="I56" s="42">
        <f>I19</f>
        <v>1435226</v>
      </c>
      <c r="J56" s="267">
        <f>J19</f>
        <v>84.842233074275214</v>
      </c>
    </row>
    <row r="57" spans="1:10" ht="31.5" x14ac:dyDescent="0.25">
      <c r="A57" s="90" t="s">
        <v>127</v>
      </c>
      <c r="B57" s="100">
        <f>'2.sz.tábla'!B81</f>
        <v>19041663</v>
      </c>
      <c r="C57" s="100">
        <f>'2.sz.tábla'!C81</f>
        <v>19041663</v>
      </c>
      <c r="D57" s="100">
        <f>'2.sz.tábla'!D81</f>
        <v>19041663</v>
      </c>
      <c r="E57" s="292">
        <f>E20</f>
        <v>100</v>
      </c>
      <c r="F57" s="90" t="s">
        <v>148</v>
      </c>
      <c r="G57" s="42">
        <f>G41</f>
        <v>0</v>
      </c>
      <c r="H57" s="42">
        <v>0</v>
      </c>
      <c r="I57" s="42">
        <v>0</v>
      </c>
      <c r="J57" s="267">
        <v>0</v>
      </c>
    </row>
    <row r="58" spans="1:10" s="98" customFormat="1" x14ac:dyDescent="0.25">
      <c r="A58" s="95" t="s">
        <v>149</v>
      </c>
      <c r="B58" s="43">
        <f>SUM(B59:B60)</f>
        <v>544230</v>
      </c>
      <c r="C58" s="43">
        <f>SUM(C59:C60)</f>
        <v>544230</v>
      </c>
      <c r="D58" s="43">
        <f>SUM(D59:D60)</f>
        <v>303585</v>
      </c>
      <c r="E58" s="295">
        <f>SUM(E59:E60)</f>
        <v>55.782481671352194</v>
      </c>
      <c r="F58" s="95"/>
      <c r="G58" s="95"/>
      <c r="H58" s="95"/>
      <c r="I58" s="95"/>
      <c r="J58" s="284"/>
    </row>
    <row r="59" spans="1:10" ht="31.5" x14ac:dyDescent="0.25">
      <c r="A59" s="90" t="s">
        <v>106</v>
      </c>
      <c r="B59" s="42">
        <f>B21</f>
        <v>544230</v>
      </c>
      <c r="C59" s="42">
        <f>C21</f>
        <v>544230</v>
      </c>
      <c r="D59" s="42">
        <f>D21</f>
        <v>303585</v>
      </c>
      <c r="E59" s="293">
        <f>E21</f>
        <v>55.782481671352194</v>
      </c>
      <c r="F59" s="90"/>
      <c r="G59" s="92"/>
      <c r="H59" s="92"/>
      <c r="I59" s="92"/>
      <c r="J59" s="267"/>
    </row>
    <row r="60" spans="1:10" ht="31.5" x14ac:dyDescent="0.25">
      <c r="A60" s="90" t="s">
        <v>131</v>
      </c>
      <c r="B60" s="42">
        <f>B43</f>
        <v>0</v>
      </c>
      <c r="C60" s="42">
        <f>C43</f>
        <v>0</v>
      </c>
      <c r="D60" s="42">
        <f>D43</f>
        <v>0</v>
      </c>
      <c r="E60" s="293">
        <f>E43</f>
        <v>0</v>
      </c>
      <c r="F60" s="95"/>
      <c r="G60" s="96"/>
      <c r="H60" s="96"/>
      <c r="I60" s="96"/>
      <c r="J60" s="266"/>
    </row>
    <row r="61" spans="1:10" s="98" customFormat="1" x14ac:dyDescent="0.25">
      <c r="A61" s="95" t="s">
        <v>71</v>
      </c>
      <c r="B61" s="43">
        <f>B53+B55+B58</f>
        <v>100091327</v>
      </c>
      <c r="C61" s="43">
        <f>C53+C55+C58</f>
        <v>105732770</v>
      </c>
      <c r="D61" s="43">
        <f>D53+D55+D58</f>
        <v>85441898</v>
      </c>
      <c r="E61" s="295">
        <f>D61/C61*100</f>
        <v>80.809287413920956</v>
      </c>
      <c r="F61" s="95" t="s">
        <v>150</v>
      </c>
      <c r="G61" s="43">
        <f>G53+G55</f>
        <v>100091327</v>
      </c>
      <c r="H61" s="43">
        <f>H53+H55</f>
        <v>105732770</v>
      </c>
      <c r="I61" s="43">
        <f>I53+I55</f>
        <v>38114306</v>
      </c>
      <c r="J61" s="266">
        <f>I61/H61*100</f>
        <v>36.047770241903244</v>
      </c>
    </row>
    <row r="62" spans="1:10" x14ac:dyDescent="0.25">
      <c r="A62" s="86" t="s">
        <v>151</v>
      </c>
    </row>
  </sheetData>
  <sheetProtection selectLockedCells="1" selectUnlockedCells="1"/>
  <mergeCells count="3">
    <mergeCell ref="A28:G28"/>
    <mergeCell ref="A4:J4"/>
    <mergeCell ref="A48:J48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5" firstPageNumber="0" orientation="landscape" r:id="rId1"/>
  <headerFooter alignWithMargins="0">
    <oddHeader>&amp;C&amp;"Times New Roman,Normál"&amp;12 6. melléklet
Pécsely Község Önkormányzat 2018. évi gazdálkodásának I. félévi alakulásáról szóló tájékoztatóhoz</oddHeader>
  </headerFooter>
  <rowBreaks count="2" manualBreakCount="2">
    <brk id="26" max="7" man="1"/>
    <brk id="6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K91"/>
  <sheetViews>
    <sheetView view="pageLayout" zoomScaleNormal="100" zoomScaleSheetLayoutView="89" workbookViewId="0">
      <selection activeCell="A4" sqref="A4:J4"/>
    </sheetView>
  </sheetViews>
  <sheetFormatPr defaultColWidth="9.140625" defaultRowHeight="15.75" x14ac:dyDescent="0.25"/>
  <cols>
    <col min="1" max="1" width="45.7109375" style="104" customWidth="1"/>
    <col min="2" max="5" width="13.85546875" style="105" customWidth="1"/>
    <col min="6" max="6" width="45.85546875" style="105" customWidth="1"/>
    <col min="7" max="10" width="13.7109375" style="105" customWidth="1"/>
    <col min="11" max="16384" width="9.140625" style="105"/>
  </cols>
  <sheetData>
    <row r="2" spans="1:10" x14ac:dyDescent="0.25">
      <c r="F2" s="106"/>
    </row>
    <row r="4" spans="1:10" ht="15.75" customHeight="1" x14ac:dyDescent="0.25">
      <c r="A4" s="315" t="s">
        <v>342</v>
      </c>
      <c r="B4" s="315"/>
      <c r="C4" s="315"/>
      <c r="D4" s="315"/>
      <c r="E4" s="315"/>
      <c r="F4" s="315"/>
      <c r="G4" s="315"/>
      <c r="H4" s="315"/>
      <c r="I4" s="315"/>
      <c r="J4" s="315"/>
    </row>
    <row r="6" spans="1:10" s="104" customFormat="1" ht="47.25" x14ac:dyDescent="0.25">
      <c r="A6" s="132" t="s">
        <v>92</v>
      </c>
      <c r="B6" s="4" t="s">
        <v>345</v>
      </c>
      <c r="C6" s="4" t="s">
        <v>346</v>
      </c>
      <c r="D6" s="4" t="s">
        <v>359</v>
      </c>
      <c r="E6" s="4" t="s">
        <v>358</v>
      </c>
      <c r="F6" s="132" t="s">
        <v>93</v>
      </c>
      <c r="G6" s="4" t="s">
        <v>345</v>
      </c>
      <c r="H6" s="4" t="s">
        <v>346</v>
      </c>
      <c r="I6" s="4" t="s">
        <v>359</v>
      </c>
      <c r="J6" s="4" t="s">
        <v>358</v>
      </c>
    </row>
    <row r="7" spans="1:10" s="104" customFormat="1" x14ac:dyDescent="0.25">
      <c r="A7" s="108" t="s">
        <v>152</v>
      </c>
      <c r="B7" s="145"/>
      <c r="C7" s="146"/>
      <c r="D7" s="146"/>
      <c r="E7" s="146"/>
      <c r="F7" s="129" t="s">
        <v>13</v>
      </c>
      <c r="G7" s="148"/>
      <c r="H7" s="110"/>
      <c r="I7" s="110"/>
      <c r="J7" s="110"/>
    </row>
    <row r="8" spans="1:10" ht="31.5" x14ac:dyDescent="0.25">
      <c r="A8" s="143" t="s">
        <v>153</v>
      </c>
      <c r="B8" s="139">
        <f>'6. sz. tábla '!B7</f>
        <v>33655434</v>
      </c>
      <c r="C8" s="139">
        <f>'6. sz. tábla '!C7</f>
        <v>34003915</v>
      </c>
      <c r="D8" s="139">
        <f>'6. sz. tábla '!D7</f>
        <v>25436641</v>
      </c>
      <c r="E8" s="296">
        <f>'6. sz. tábla '!E7</f>
        <v>74.805036420071048</v>
      </c>
      <c r="F8" s="138" t="s">
        <v>79</v>
      </c>
      <c r="G8" s="139">
        <f>'6. sz. tábla '!G7</f>
        <v>17970857</v>
      </c>
      <c r="H8" s="139">
        <f>'6. sz. tábla '!H7</f>
        <v>19118089</v>
      </c>
      <c r="I8" s="139">
        <f>'6. sz. tábla '!I7</f>
        <v>8411172</v>
      </c>
      <c r="J8" s="296">
        <f>'6. sz. tábla '!J7</f>
        <v>43.995882642872935</v>
      </c>
    </row>
    <row r="9" spans="1:10" ht="17.25" customHeight="1" x14ac:dyDescent="0.25">
      <c r="A9" s="138" t="s">
        <v>95</v>
      </c>
      <c r="B9" s="42">
        <f>'6. sz. tábla '!B8</f>
        <v>20250000</v>
      </c>
      <c r="C9" s="42">
        <f>'6. sz. tábla '!C8</f>
        <v>20250000</v>
      </c>
      <c r="D9" s="42">
        <f>'6. sz. tábla '!D8</f>
        <v>11607518</v>
      </c>
      <c r="E9" s="267">
        <f>'6. sz. tábla '!E8</f>
        <v>57.321076543209884</v>
      </c>
      <c r="F9" s="138" t="s">
        <v>76</v>
      </c>
      <c r="G9" s="139">
        <f>'6. sz. tábla '!G8</f>
        <v>3557552</v>
      </c>
      <c r="H9" s="139">
        <f>'6. sz. tábla '!H8</f>
        <v>3713552</v>
      </c>
      <c r="I9" s="139">
        <f>'6. sz. tábla '!I8</f>
        <v>1584000</v>
      </c>
      <c r="J9" s="296">
        <f>'6. sz. tábla '!J8</f>
        <v>42.65457976621844</v>
      </c>
    </row>
    <row r="10" spans="1:10" x14ac:dyDescent="0.25">
      <c r="A10" s="138" t="s">
        <v>96</v>
      </c>
      <c r="B10" s="139">
        <f>'6. sz. tábla '!B9</f>
        <v>7100000</v>
      </c>
      <c r="C10" s="139">
        <f>'6. sz. tábla '!C9</f>
        <v>7862520</v>
      </c>
      <c r="D10" s="139">
        <f>'6. sz. tábla '!D9</f>
        <v>5022049</v>
      </c>
      <c r="E10" s="296">
        <f>'6. sz. tábla '!E9</f>
        <v>63.873274726169214</v>
      </c>
      <c r="F10" s="138" t="s">
        <v>77</v>
      </c>
      <c r="G10" s="139">
        <f>'6. sz. tábla '!G9</f>
        <v>30091000</v>
      </c>
      <c r="H10" s="139">
        <f>'6. sz. tábla '!H9</f>
        <v>30311320</v>
      </c>
      <c r="I10" s="139">
        <f>'6. sz. tábla '!I9</f>
        <v>12248453</v>
      </c>
      <c r="J10" s="296">
        <f>'6. sz. tábla '!J9</f>
        <v>40.408840657549725</v>
      </c>
    </row>
    <row r="11" spans="1:10" ht="31.5" x14ac:dyDescent="0.25">
      <c r="A11" s="89" t="s">
        <v>98</v>
      </c>
      <c r="B11" s="139">
        <f>'6. sz. tábla '!B10</f>
        <v>0</v>
      </c>
      <c r="C11" s="139">
        <f>'6. sz. tábla '!C10</f>
        <v>0</v>
      </c>
      <c r="D11" s="139">
        <f>'6. sz. tábla '!D10</f>
        <v>0</v>
      </c>
      <c r="E11" s="296">
        <f>'6. sz. tábla '!E10</f>
        <v>0</v>
      </c>
      <c r="F11" s="138" t="s">
        <v>80</v>
      </c>
      <c r="G11" s="139">
        <f>'6. sz. tábla '!G10</f>
        <v>3704000</v>
      </c>
      <c r="H11" s="139">
        <f>'6. sz. tábla '!H10</f>
        <v>3704000</v>
      </c>
      <c r="I11" s="139">
        <f>'6. sz. tábla '!I10</f>
        <v>484245</v>
      </c>
      <c r="J11" s="296">
        <f>'6. sz. tábla '!J10</f>
        <v>13.073569114470843</v>
      </c>
    </row>
    <row r="12" spans="1:10" x14ac:dyDescent="0.25">
      <c r="A12" s="138"/>
      <c r="B12" s="139"/>
      <c r="C12" s="139">
        <f>'6. sz. tábla '!C11</f>
        <v>0</v>
      </c>
      <c r="D12" s="139"/>
      <c r="E12" s="296"/>
      <c r="F12" s="138" t="s">
        <v>78</v>
      </c>
      <c r="G12" s="139"/>
      <c r="H12" s="139"/>
      <c r="I12" s="139"/>
      <c r="J12" s="296"/>
    </row>
    <row r="13" spans="1:10" x14ac:dyDescent="0.25">
      <c r="A13" s="138"/>
      <c r="B13" s="139"/>
      <c r="C13" s="139">
        <f>'6. sz. tábla '!C12</f>
        <v>0</v>
      </c>
      <c r="D13" s="139"/>
      <c r="E13" s="296"/>
      <c r="F13" s="90" t="s">
        <v>214</v>
      </c>
      <c r="G13" s="139">
        <f>'6. sz. tábla '!G12</f>
        <v>27305</v>
      </c>
      <c r="H13" s="139">
        <f>'6. sz. tábla '!H12</f>
        <v>27305</v>
      </c>
      <c r="I13" s="139">
        <f>'6. sz. tábla '!I12</f>
        <v>27305</v>
      </c>
      <c r="J13" s="296">
        <f>'6. sz. tábla '!J12</f>
        <v>100</v>
      </c>
    </row>
    <row r="14" spans="1:10" ht="31.5" x14ac:dyDescent="0.25">
      <c r="A14" s="138"/>
      <c r="B14" s="139"/>
      <c r="C14" s="139">
        <f>'6. sz. tábla '!C13</f>
        <v>0</v>
      </c>
      <c r="D14" s="139"/>
      <c r="E14" s="296"/>
      <c r="F14" s="90" t="s">
        <v>215</v>
      </c>
      <c r="G14" s="139">
        <f>'4. sz. tábla'!B5</f>
        <v>14733280</v>
      </c>
      <c r="H14" s="139">
        <f>'4. sz. tábla'!C5</f>
        <v>14733280</v>
      </c>
      <c r="I14" s="139">
        <f>'4. sz. tábla'!D5</f>
        <v>6960887</v>
      </c>
      <c r="J14" s="296">
        <f>'4. sz. tábla'!E5</f>
        <v>47.2460103927978</v>
      </c>
    </row>
    <row r="15" spans="1:10" ht="31.5" x14ac:dyDescent="0.25">
      <c r="A15" s="143"/>
      <c r="B15" s="144"/>
      <c r="C15" s="139">
        <f>'6. sz. tábla '!C14</f>
        <v>0</v>
      </c>
      <c r="D15" s="144"/>
      <c r="E15" s="297"/>
      <c r="F15" s="94" t="s">
        <v>216</v>
      </c>
      <c r="G15" s="139">
        <f>'4. sz. tábla'!B14</f>
        <v>150000</v>
      </c>
      <c r="H15" s="139">
        <f>'4. sz. tábla'!C14</f>
        <v>150000</v>
      </c>
      <c r="I15" s="139">
        <f>'4. sz. tábla'!D14</f>
        <v>30000</v>
      </c>
      <c r="J15" s="296">
        <f>'4. sz. tábla'!E14</f>
        <v>20</v>
      </c>
    </row>
    <row r="16" spans="1:10" ht="31.5" x14ac:dyDescent="0.25">
      <c r="A16" s="89"/>
      <c r="B16" s="139"/>
      <c r="C16" s="139">
        <f>'6. sz. tábla '!C15</f>
        <v>0</v>
      </c>
      <c r="D16" s="139"/>
      <c r="E16" s="296"/>
      <c r="F16" s="90" t="s">
        <v>217</v>
      </c>
      <c r="G16" s="139">
        <f>'6. sz. tábla '!G15</f>
        <v>0</v>
      </c>
      <c r="H16" s="139">
        <f>'6. sz. tábla '!H15</f>
        <v>0</v>
      </c>
      <c r="I16" s="139">
        <f>'6. sz. tábla '!I15</f>
        <v>0</v>
      </c>
      <c r="J16" s="296">
        <f>'6. sz. tábla '!J15</f>
        <v>0</v>
      </c>
    </row>
    <row r="17" spans="1:10" x14ac:dyDescent="0.25">
      <c r="A17" s="138"/>
      <c r="B17" s="139"/>
      <c r="C17" s="139">
        <f>'6. sz. tábla '!C16</f>
        <v>0</v>
      </c>
      <c r="D17" s="139"/>
      <c r="E17" s="296"/>
      <c r="F17" s="90" t="s">
        <v>209</v>
      </c>
      <c r="G17" s="139">
        <f>'6. sz. tábla '!G16</f>
        <v>3900984</v>
      </c>
      <c r="H17" s="139">
        <f>'6. sz. tábla '!H16</f>
        <v>4607775</v>
      </c>
      <c r="I17" s="139">
        <f>'6. sz. tábla '!I16</f>
        <v>0</v>
      </c>
      <c r="J17" s="296">
        <f>'6. sz. tábla '!J16</f>
        <v>0</v>
      </c>
    </row>
    <row r="18" spans="1:10" s="120" customFormat="1" ht="31.5" x14ac:dyDescent="0.25">
      <c r="A18" s="132" t="s">
        <v>154</v>
      </c>
      <c r="B18" s="133">
        <f>SUM(B8:B17)</f>
        <v>61005434</v>
      </c>
      <c r="C18" s="133">
        <f>SUM(C8:C17)</f>
        <v>62116435</v>
      </c>
      <c r="D18" s="133">
        <f>SUM(D8:D17)</f>
        <v>42066208</v>
      </c>
      <c r="E18" s="298">
        <f>D18/C18*100</f>
        <v>67.721542615895459</v>
      </c>
      <c r="F18" s="132" t="s">
        <v>155</v>
      </c>
      <c r="G18" s="133">
        <f>SUM(G8:G17)</f>
        <v>74134978</v>
      </c>
      <c r="H18" s="133">
        <f>SUM(H8:H17)</f>
        <v>76365321</v>
      </c>
      <c r="I18" s="133">
        <f>SUM(I8:I17)</f>
        <v>29746062</v>
      </c>
      <c r="J18" s="298">
        <f>I18/H18*100</f>
        <v>38.952317112632841</v>
      </c>
    </row>
    <row r="19" spans="1:10" x14ac:dyDescent="0.25">
      <c r="A19" s="140" t="s">
        <v>156</v>
      </c>
      <c r="B19" s="139">
        <f>'1.sz.tábla'!B18</f>
        <v>39085893</v>
      </c>
      <c r="C19" s="139">
        <f>'1.sz.tábla'!C18</f>
        <v>43438855</v>
      </c>
      <c r="D19" s="139">
        <f>'1.sz.tábla'!D18</f>
        <v>43198210</v>
      </c>
      <c r="E19" s="296">
        <f>'1.sz.tábla'!E18</f>
        <v>99.44601440346436</v>
      </c>
      <c r="F19" s="140" t="s">
        <v>157</v>
      </c>
      <c r="G19" s="139">
        <f>'1.sz.tábla'!B37</f>
        <v>1691641</v>
      </c>
      <c r="H19" s="139">
        <f>'1.sz.tábla'!C37</f>
        <v>1691641</v>
      </c>
      <c r="I19" s="139">
        <f>'1.sz.tábla'!D37</f>
        <v>1435226</v>
      </c>
      <c r="J19" s="296">
        <f>'1.sz.tábla'!E37</f>
        <v>84.842233074275214</v>
      </c>
    </row>
    <row r="20" spans="1:10" ht="47.25" x14ac:dyDescent="0.25">
      <c r="A20" s="132" t="s">
        <v>158</v>
      </c>
      <c r="B20" s="133">
        <f>B18+B19</f>
        <v>100091327</v>
      </c>
      <c r="C20" s="133">
        <f>C18+C19</f>
        <v>105555290</v>
      </c>
      <c r="D20" s="133">
        <f>D18+D19</f>
        <v>85264418</v>
      </c>
      <c r="E20" s="298">
        <f>D20/C20*100</f>
        <v>80.777020270608887</v>
      </c>
      <c r="F20" s="132" t="s">
        <v>159</v>
      </c>
      <c r="G20" s="133">
        <f>G18+G19</f>
        <v>75826619</v>
      </c>
      <c r="H20" s="133">
        <f>H18+H19</f>
        <v>78056962</v>
      </c>
      <c r="I20" s="133">
        <f>I18+I19</f>
        <v>31181288</v>
      </c>
      <c r="J20" s="298">
        <f>I20/H20*100</f>
        <v>39.946837797761077</v>
      </c>
    </row>
    <row r="21" spans="1:10" x14ac:dyDescent="0.25">
      <c r="A21" s="108" t="s">
        <v>160</v>
      </c>
      <c r="B21" s="122"/>
      <c r="C21" s="122"/>
      <c r="D21" s="122"/>
      <c r="E21" s="122"/>
      <c r="F21" s="122" t="s">
        <v>15</v>
      </c>
      <c r="G21" s="124"/>
      <c r="H21" s="124"/>
      <c r="I21" s="124"/>
      <c r="J21" s="124"/>
    </row>
    <row r="22" spans="1:10" ht="31.5" x14ac:dyDescent="0.25">
      <c r="A22" s="89" t="s">
        <v>113</v>
      </c>
      <c r="B22" s="139">
        <f>'6. sz. tábla '!B31</f>
        <v>0</v>
      </c>
      <c r="C22" s="139">
        <f>'6. sz. tábla '!C31</f>
        <v>0</v>
      </c>
      <c r="D22" s="139">
        <f>'6. sz. tábla '!D31</f>
        <v>0</v>
      </c>
      <c r="E22" s="296">
        <f>'6. sz. tábla '!E31</f>
        <v>0</v>
      </c>
      <c r="F22" s="138" t="s">
        <v>114</v>
      </c>
      <c r="G22" s="139">
        <f>'6. sz. tábla '!G31</f>
        <v>2400000</v>
      </c>
      <c r="H22" s="139">
        <f>'6. sz. tábla '!H31</f>
        <v>5067000</v>
      </c>
      <c r="I22" s="139">
        <f>'6. sz. tábla '!I31</f>
        <v>161177</v>
      </c>
      <c r="J22" s="296">
        <f>'6. sz. tábla '!J31</f>
        <v>40.294249999999998</v>
      </c>
    </row>
    <row r="23" spans="1:10" x14ac:dyDescent="0.25">
      <c r="A23" s="90" t="s">
        <v>161</v>
      </c>
      <c r="B23" s="139">
        <f>'6. sz. tábla '!B32</f>
        <v>0</v>
      </c>
      <c r="C23" s="139">
        <f>'6. sz. tábla '!C32</f>
        <v>177480</v>
      </c>
      <c r="D23" s="139">
        <f>'6. sz. tábla '!D32</f>
        <v>177480</v>
      </c>
      <c r="E23" s="296">
        <f>'6. sz. tábla '!E32</f>
        <v>100</v>
      </c>
      <c r="F23" s="138" t="s">
        <v>116</v>
      </c>
      <c r="G23" s="139"/>
      <c r="H23" s="139"/>
      <c r="I23" s="139"/>
      <c r="J23" s="296"/>
    </row>
    <row r="24" spans="1:10" ht="31.5" x14ac:dyDescent="0.25">
      <c r="A24" s="90" t="s">
        <v>162</v>
      </c>
      <c r="B24" s="139">
        <f>'6. sz. tábla '!B33</f>
        <v>0</v>
      </c>
      <c r="C24" s="139">
        <f>'6. sz. tábla '!C33</f>
        <v>0</v>
      </c>
      <c r="D24" s="139">
        <f>'6. sz. tábla '!D33</f>
        <v>0</v>
      </c>
      <c r="E24" s="296">
        <f>'6. sz. tábla '!E33</f>
        <v>0</v>
      </c>
      <c r="F24" s="138" t="s">
        <v>118</v>
      </c>
      <c r="G24" s="139">
        <f>'6. sz. tábla '!G33</f>
        <v>21789708</v>
      </c>
      <c r="H24" s="139">
        <f>'6. sz. tábla '!H33</f>
        <v>22533808</v>
      </c>
      <c r="I24" s="139">
        <f>'6. sz. tábla '!I33</f>
        <v>6696841</v>
      </c>
      <c r="J24" s="296">
        <f>'6. sz. tábla '!J33</f>
        <v>29.719082544770064</v>
      </c>
    </row>
    <row r="25" spans="1:10" x14ac:dyDescent="0.25">
      <c r="A25" s="138"/>
      <c r="B25" s="139"/>
      <c r="C25" s="139"/>
      <c r="D25" s="139"/>
      <c r="E25" s="296"/>
      <c r="F25" s="138" t="s">
        <v>163</v>
      </c>
      <c r="G25" s="139">
        <f>'5.sz.tábla '!B27</f>
        <v>75000</v>
      </c>
      <c r="H25" s="139">
        <f>'5.sz.tábla '!C27</f>
        <v>75000</v>
      </c>
      <c r="I25" s="139">
        <f>'5.sz.tábla '!D27</f>
        <v>75000</v>
      </c>
      <c r="J25" s="296">
        <f>'5.sz.tábla '!E27</f>
        <v>100</v>
      </c>
    </row>
    <row r="26" spans="1:10" ht="31.5" x14ac:dyDescent="0.25">
      <c r="A26" s="138"/>
      <c r="B26" s="139"/>
      <c r="C26" s="139"/>
      <c r="D26" s="139"/>
      <c r="E26" s="296"/>
      <c r="F26" s="138" t="s">
        <v>164</v>
      </c>
      <c r="G26" s="139"/>
      <c r="H26" s="139"/>
      <c r="I26" s="139"/>
      <c r="J26" s="296"/>
    </row>
    <row r="27" spans="1:10" ht="31.5" x14ac:dyDescent="0.25">
      <c r="A27" s="138"/>
      <c r="B27" s="139"/>
      <c r="C27" s="139"/>
      <c r="D27" s="139"/>
      <c r="E27" s="296"/>
      <c r="F27" s="141" t="s">
        <v>165</v>
      </c>
      <c r="G27" s="139"/>
      <c r="H27" s="139"/>
      <c r="I27" s="139"/>
      <c r="J27" s="296"/>
    </row>
    <row r="28" spans="1:10" ht="31.5" x14ac:dyDescent="0.25">
      <c r="A28" s="140"/>
      <c r="B28" s="139"/>
      <c r="C28" s="139"/>
      <c r="D28" s="139"/>
      <c r="E28" s="296"/>
      <c r="F28" s="138" t="s">
        <v>166</v>
      </c>
      <c r="G28" s="139"/>
      <c r="H28" s="139"/>
      <c r="I28" s="139"/>
      <c r="J28" s="296"/>
    </row>
    <row r="29" spans="1:10" s="120" customFormat="1" ht="31.5" x14ac:dyDescent="0.25">
      <c r="A29" s="132" t="s">
        <v>167</v>
      </c>
      <c r="B29" s="133">
        <f>SUM(B22:B28)</f>
        <v>0</v>
      </c>
      <c r="C29" s="133">
        <f t="shared" ref="C29:D29" si="0">SUM(C22:C28)</f>
        <v>177480</v>
      </c>
      <c r="D29" s="133">
        <f t="shared" si="0"/>
        <v>177480</v>
      </c>
      <c r="E29" s="298">
        <f>SUM(E22:E28)</f>
        <v>100</v>
      </c>
      <c r="F29" s="132" t="s">
        <v>155</v>
      </c>
      <c r="G29" s="133">
        <f>SUM(G22:G28)</f>
        <v>24264708</v>
      </c>
      <c r="H29" s="133">
        <f>SUM(H22:H28)</f>
        <v>27675808</v>
      </c>
      <c r="I29" s="133">
        <f>SUM(I22:I28)</f>
        <v>6933018</v>
      </c>
      <c r="J29" s="298">
        <f>I29/H29*100</f>
        <v>25.050824171059432</v>
      </c>
    </row>
    <row r="30" spans="1:10" ht="15" customHeight="1" x14ac:dyDescent="0.25">
      <c r="A30" s="140" t="s">
        <v>156</v>
      </c>
      <c r="B30" s="139"/>
      <c r="C30" s="139"/>
      <c r="D30" s="139"/>
      <c r="E30" s="296"/>
      <c r="F30" s="140" t="s">
        <v>157</v>
      </c>
      <c r="G30" s="139"/>
      <c r="H30" s="139"/>
      <c r="I30" s="139"/>
      <c r="J30" s="296"/>
    </row>
    <row r="31" spans="1:10" ht="47.25" x14ac:dyDescent="0.25">
      <c r="A31" s="132" t="s">
        <v>168</v>
      </c>
      <c r="B31" s="133">
        <f>B29+B30</f>
        <v>0</v>
      </c>
      <c r="C31" s="133">
        <f t="shared" ref="C31:D31" si="1">C29+C30</f>
        <v>177480</v>
      </c>
      <c r="D31" s="133">
        <f t="shared" si="1"/>
        <v>177480</v>
      </c>
      <c r="E31" s="298">
        <f>E29+E30</f>
        <v>100</v>
      </c>
      <c r="F31" s="132" t="s">
        <v>169</v>
      </c>
      <c r="G31" s="133">
        <f>G29+G30</f>
        <v>24264708</v>
      </c>
      <c r="H31" s="133">
        <f>H29+H30</f>
        <v>27675808</v>
      </c>
      <c r="I31" s="133">
        <f>I29+I30</f>
        <v>6933018</v>
      </c>
      <c r="J31" s="298">
        <f>J29+J30</f>
        <v>25.050824171059432</v>
      </c>
    </row>
    <row r="32" spans="1:10" x14ac:dyDescent="0.25">
      <c r="B32" s="128">
        <f>B31+B20</f>
        <v>100091327</v>
      </c>
      <c r="C32" s="128">
        <f>C31+C20</f>
        <v>105732770</v>
      </c>
      <c r="D32" s="128">
        <f>D31+D20</f>
        <v>85441898</v>
      </c>
      <c r="E32" s="300">
        <f>D32/C32*100</f>
        <v>80.809287413920956</v>
      </c>
      <c r="G32" s="128">
        <f>G31+G20</f>
        <v>100091327</v>
      </c>
      <c r="H32" s="128">
        <f>H31+H20</f>
        <v>105732770</v>
      </c>
      <c r="I32" s="128">
        <f>I31+I20</f>
        <v>38114306</v>
      </c>
      <c r="J32" s="128">
        <f>I32/H32*100</f>
        <v>36.047770241903244</v>
      </c>
    </row>
    <row r="33" spans="1:10" ht="15.75" customHeight="1" x14ac:dyDescent="0.25">
      <c r="A33" s="315" t="s">
        <v>343</v>
      </c>
      <c r="B33" s="315"/>
      <c r="C33" s="315"/>
      <c r="D33" s="315"/>
      <c r="E33" s="315"/>
      <c r="F33" s="315"/>
    </row>
    <row r="35" spans="1:10" s="104" customFormat="1" ht="47.25" x14ac:dyDescent="0.25">
      <c r="A35" s="132" t="s">
        <v>92</v>
      </c>
      <c r="B35" s="4" t="str">
        <f>B6</f>
        <v>2018. évi eredeti előirányzat</v>
      </c>
      <c r="C35" s="4" t="str">
        <f t="shared" ref="C35:E35" si="2">C6</f>
        <v>I. Módosítás</v>
      </c>
      <c r="D35" s="4" t="str">
        <f t="shared" si="2"/>
        <v>Teljesítés 2018.06.30.</v>
      </c>
      <c r="E35" s="4" t="str">
        <f t="shared" si="2"/>
        <v>%</v>
      </c>
      <c r="F35" s="132" t="s">
        <v>93</v>
      </c>
      <c r="G35" s="4" t="str">
        <f>G6</f>
        <v>2018. évi eredeti előirányzat</v>
      </c>
      <c r="H35" s="4" t="str">
        <f t="shared" ref="H35:J35" si="3">H6</f>
        <v>I. Módosítás</v>
      </c>
      <c r="I35" s="4" t="str">
        <f t="shared" si="3"/>
        <v>Teljesítés 2018.06.30.</v>
      </c>
      <c r="J35" s="4" t="str">
        <f t="shared" si="3"/>
        <v>%</v>
      </c>
    </row>
    <row r="36" spans="1:10" x14ac:dyDescent="0.25">
      <c r="A36" s="108" t="s">
        <v>152</v>
      </c>
      <c r="B36" s="145"/>
      <c r="C36" s="146"/>
      <c r="D36" s="146"/>
      <c r="E36" s="146"/>
      <c r="F36" s="129" t="s">
        <v>13</v>
      </c>
      <c r="G36" s="147"/>
      <c r="H36" s="147"/>
      <c r="I36" s="147"/>
      <c r="J36" s="147"/>
    </row>
    <row r="37" spans="1:10" ht="31.5" x14ac:dyDescent="0.25">
      <c r="A37" s="143" t="s">
        <v>153</v>
      </c>
      <c r="B37" s="139"/>
      <c r="C37" s="139"/>
      <c r="D37" s="139"/>
      <c r="E37" s="139"/>
      <c r="F37" s="138" t="s">
        <v>79</v>
      </c>
      <c r="G37" s="139"/>
      <c r="H37" s="139"/>
      <c r="I37" s="139"/>
      <c r="J37" s="139"/>
    </row>
    <row r="38" spans="1:10" x14ac:dyDescent="0.25">
      <c r="A38" s="138" t="s">
        <v>95</v>
      </c>
      <c r="B38" s="139"/>
      <c r="C38" s="139"/>
      <c r="D38" s="139"/>
      <c r="E38" s="139"/>
      <c r="F38" s="138" t="s">
        <v>76</v>
      </c>
      <c r="G38" s="139"/>
      <c r="H38" s="139"/>
      <c r="I38" s="139"/>
      <c r="J38" s="139"/>
    </row>
    <row r="39" spans="1:10" x14ac:dyDescent="0.25">
      <c r="A39" s="138" t="s">
        <v>96</v>
      </c>
      <c r="B39" s="139">
        <f>'2.sz.tábla'!B49</f>
        <v>0</v>
      </c>
      <c r="C39" s="139">
        <f>'2.sz.tábla'!C49</f>
        <v>720000</v>
      </c>
      <c r="D39" s="139">
        <f>'2.sz.tábla'!D49</f>
        <v>395874</v>
      </c>
      <c r="E39" s="296">
        <f>'2.sz.tábla'!E49</f>
        <v>54.982500000000002</v>
      </c>
      <c r="F39" s="138" t="s">
        <v>77</v>
      </c>
      <c r="G39" s="139"/>
      <c r="H39" s="139"/>
      <c r="I39" s="139"/>
      <c r="J39" s="139"/>
    </row>
    <row r="40" spans="1:10" ht="31.5" x14ac:dyDescent="0.25">
      <c r="A40" s="89" t="s">
        <v>98</v>
      </c>
      <c r="B40" s="139"/>
      <c r="C40" s="139"/>
      <c r="D40" s="139"/>
      <c r="E40" s="139"/>
      <c r="F40" s="138" t="s">
        <v>80</v>
      </c>
      <c r="G40" s="139"/>
      <c r="H40" s="139"/>
      <c r="I40" s="139"/>
      <c r="J40" s="139"/>
    </row>
    <row r="41" spans="1:10" x14ac:dyDescent="0.25">
      <c r="A41" s="138"/>
      <c r="B41" s="139"/>
      <c r="C41" s="139"/>
      <c r="D41" s="139"/>
      <c r="E41" s="139"/>
      <c r="F41" s="138" t="s">
        <v>78</v>
      </c>
      <c r="G41" s="139"/>
      <c r="H41" s="139"/>
      <c r="I41" s="139"/>
      <c r="J41" s="139"/>
    </row>
    <row r="42" spans="1:10" x14ac:dyDescent="0.25">
      <c r="A42" s="138"/>
      <c r="B42" s="139"/>
      <c r="C42" s="139"/>
      <c r="D42" s="139"/>
      <c r="E42" s="139"/>
      <c r="F42" s="90" t="s">
        <v>214</v>
      </c>
      <c r="G42" s="139"/>
      <c r="H42" s="139"/>
      <c r="I42" s="139"/>
      <c r="J42" s="139"/>
    </row>
    <row r="43" spans="1:10" ht="31.5" x14ac:dyDescent="0.25">
      <c r="A43" s="138"/>
      <c r="B43" s="139"/>
      <c r="C43" s="139"/>
      <c r="D43" s="139"/>
      <c r="E43" s="139"/>
      <c r="F43" s="90" t="s">
        <v>215</v>
      </c>
      <c r="G43" s="139"/>
      <c r="H43" s="139"/>
      <c r="I43" s="139"/>
      <c r="J43" s="139"/>
    </row>
    <row r="44" spans="1:10" ht="31.5" x14ac:dyDescent="0.25">
      <c r="A44" s="143"/>
      <c r="B44" s="144"/>
      <c r="C44" s="144"/>
      <c r="D44" s="144"/>
      <c r="E44" s="144"/>
      <c r="F44" s="94" t="s">
        <v>216</v>
      </c>
      <c r="G44" s="139">
        <f>'4. sz. tábla'!B14</f>
        <v>150000</v>
      </c>
      <c r="H44" s="139">
        <f>'4. sz. tábla'!C14</f>
        <v>150000</v>
      </c>
      <c r="I44" s="139">
        <f>'4. sz. tábla'!D14</f>
        <v>30000</v>
      </c>
      <c r="J44" s="296">
        <f>'4. sz. tábla'!E14</f>
        <v>20</v>
      </c>
    </row>
    <row r="45" spans="1:10" ht="31.5" x14ac:dyDescent="0.25">
      <c r="A45" s="89"/>
      <c r="B45" s="139"/>
      <c r="C45" s="139"/>
      <c r="D45" s="139"/>
      <c r="E45" s="139"/>
      <c r="F45" s="90" t="s">
        <v>217</v>
      </c>
      <c r="G45" s="139"/>
      <c r="H45" s="139"/>
      <c r="I45" s="139"/>
      <c r="J45" s="296"/>
    </row>
    <row r="46" spans="1:10" x14ac:dyDescent="0.25">
      <c r="A46" s="138"/>
      <c r="B46" s="139"/>
      <c r="C46" s="139"/>
      <c r="D46" s="139"/>
      <c r="E46" s="139"/>
      <c r="F46" s="90" t="s">
        <v>209</v>
      </c>
      <c r="G46" s="139"/>
      <c r="H46" s="139"/>
      <c r="I46" s="139"/>
      <c r="J46" s="296"/>
    </row>
    <row r="47" spans="1:10" ht="31.5" x14ac:dyDescent="0.25">
      <c r="A47" s="132" t="s">
        <v>170</v>
      </c>
      <c r="B47" s="133">
        <f>SUM(B37:B46)</f>
        <v>0</v>
      </c>
      <c r="C47" s="133">
        <f t="shared" ref="C47:E47" si="4">SUM(C37:C46)</f>
        <v>720000</v>
      </c>
      <c r="D47" s="133">
        <f t="shared" si="4"/>
        <v>395874</v>
      </c>
      <c r="E47" s="298">
        <f t="shared" si="4"/>
        <v>54.982500000000002</v>
      </c>
      <c r="F47" s="132" t="s">
        <v>171</v>
      </c>
      <c r="G47" s="133">
        <f>SUM(G37:G46)</f>
        <v>150000</v>
      </c>
      <c r="H47" s="133">
        <f>SUM(H37:H46)</f>
        <v>150000</v>
      </c>
      <c r="I47" s="133">
        <f>SUM(I37:I46)</f>
        <v>30000</v>
      </c>
      <c r="J47" s="298">
        <f>SUM(J37:J46)</f>
        <v>20</v>
      </c>
    </row>
    <row r="48" spans="1:10" x14ac:dyDescent="0.25">
      <c r="A48" s="140" t="s">
        <v>156</v>
      </c>
      <c r="B48" s="139"/>
      <c r="C48" s="139"/>
      <c r="D48" s="139"/>
      <c r="E48" s="139"/>
      <c r="F48" s="140" t="s">
        <v>157</v>
      </c>
      <c r="G48" s="139"/>
      <c r="H48" s="139"/>
      <c r="I48" s="139"/>
      <c r="J48" s="296"/>
    </row>
    <row r="49" spans="1:10" ht="47.25" x14ac:dyDescent="0.25">
      <c r="A49" s="132" t="s">
        <v>172</v>
      </c>
      <c r="B49" s="133">
        <f>B47+B48</f>
        <v>0</v>
      </c>
      <c r="C49" s="133">
        <f t="shared" ref="C49:E49" si="5">C47+C48</f>
        <v>720000</v>
      </c>
      <c r="D49" s="133">
        <f t="shared" si="5"/>
        <v>395874</v>
      </c>
      <c r="E49" s="298">
        <f t="shared" si="5"/>
        <v>54.982500000000002</v>
      </c>
      <c r="F49" s="132" t="s">
        <v>173</v>
      </c>
      <c r="G49" s="133">
        <f>G47+G48</f>
        <v>150000</v>
      </c>
      <c r="H49" s="133">
        <f>H47+H48</f>
        <v>150000</v>
      </c>
      <c r="I49" s="133">
        <f>I47+I48</f>
        <v>30000</v>
      </c>
      <c r="J49" s="298">
        <f>J47+J48</f>
        <v>20</v>
      </c>
    </row>
    <row r="50" spans="1:10" x14ac:dyDescent="0.25">
      <c r="A50" s="108" t="s">
        <v>160</v>
      </c>
      <c r="B50" s="122"/>
      <c r="C50" s="122"/>
      <c r="D50" s="122"/>
      <c r="E50" s="122"/>
      <c r="F50" s="122" t="s">
        <v>15</v>
      </c>
      <c r="G50" s="124"/>
      <c r="H50" s="124"/>
      <c r="I50" s="124"/>
      <c r="J50" s="124"/>
    </row>
    <row r="51" spans="1:10" ht="31.5" x14ac:dyDescent="0.25">
      <c r="A51" s="89" t="s">
        <v>113</v>
      </c>
      <c r="B51" s="139"/>
      <c r="C51" s="139"/>
      <c r="D51" s="139"/>
      <c r="E51" s="139"/>
      <c r="F51" s="138" t="s">
        <v>114</v>
      </c>
      <c r="G51" s="139"/>
      <c r="H51" s="139"/>
      <c r="I51" s="139"/>
      <c r="J51" s="139"/>
    </row>
    <row r="52" spans="1:10" x14ac:dyDescent="0.25">
      <c r="A52" s="90" t="s">
        <v>161</v>
      </c>
      <c r="B52" s="139"/>
      <c r="C52" s="139"/>
      <c r="D52" s="139"/>
      <c r="E52" s="139"/>
      <c r="F52" s="138" t="s">
        <v>116</v>
      </c>
      <c r="G52" s="139"/>
      <c r="H52" s="139"/>
      <c r="I52" s="139"/>
      <c r="J52" s="139"/>
    </row>
    <row r="53" spans="1:10" ht="31.5" x14ac:dyDescent="0.25">
      <c r="A53" s="90" t="s">
        <v>162</v>
      </c>
      <c r="B53" s="142"/>
      <c r="C53" s="142"/>
      <c r="D53" s="142"/>
      <c r="E53" s="142"/>
      <c r="F53" s="138" t="s">
        <v>118</v>
      </c>
      <c r="G53" s="139"/>
      <c r="H53" s="139"/>
      <c r="I53" s="139"/>
      <c r="J53" s="139"/>
    </row>
    <row r="54" spans="1:10" x14ac:dyDescent="0.25">
      <c r="A54" s="138"/>
      <c r="B54" s="139"/>
      <c r="C54" s="139"/>
      <c r="D54" s="139"/>
      <c r="E54" s="139"/>
      <c r="F54" s="138" t="s">
        <v>163</v>
      </c>
      <c r="G54" s="139"/>
      <c r="H54" s="139"/>
      <c r="I54" s="139"/>
      <c r="J54" s="139"/>
    </row>
    <row r="55" spans="1:10" ht="31.5" x14ac:dyDescent="0.25">
      <c r="A55" s="138"/>
      <c r="B55" s="139"/>
      <c r="C55" s="139"/>
      <c r="D55" s="139"/>
      <c r="E55" s="139"/>
      <c r="F55" s="138" t="s">
        <v>164</v>
      </c>
      <c r="G55" s="139"/>
      <c r="H55" s="139"/>
      <c r="I55" s="139"/>
      <c r="J55" s="139"/>
    </row>
    <row r="56" spans="1:10" ht="31.5" x14ac:dyDescent="0.25">
      <c r="A56" s="138"/>
      <c r="B56" s="139"/>
      <c r="C56" s="139"/>
      <c r="D56" s="139"/>
      <c r="E56" s="139"/>
      <c r="F56" s="141" t="s">
        <v>165</v>
      </c>
      <c r="G56" s="139">
        <f>'5.sz.tábla '!B27</f>
        <v>75000</v>
      </c>
      <c r="H56" s="139">
        <f>'5.sz.tábla '!C27</f>
        <v>75000</v>
      </c>
      <c r="I56" s="139">
        <f>'5.sz.tábla '!D27</f>
        <v>75000</v>
      </c>
      <c r="J56" s="296">
        <f>'5.sz.tábla '!E27</f>
        <v>100</v>
      </c>
    </row>
    <row r="57" spans="1:10" ht="31.5" x14ac:dyDescent="0.25">
      <c r="A57" s="140"/>
      <c r="B57" s="139"/>
      <c r="C57" s="139"/>
      <c r="D57" s="139"/>
      <c r="E57" s="139"/>
      <c r="F57" s="90" t="s">
        <v>222</v>
      </c>
      <c r="G57" s="139"/>
      <c r="H57" s="139"/>
      <c r="I57" s="139"/>
      <c r="J57" s="296"/>
    </row>
    <row r="58" spans="1:10" ht="31.5" x14ac:dyDescent="0.25">
      <c r="A58" s="140"/>
      <c r="B58" s="139"/>
      <c r="C58" s="139"/>
      <c r="D58" s="139"/>
      <c r="E58" s="139"/>
      <c r="F58" s="90" t="s">
        <v>166</v>
      </c>
      <c r="G58" s="139"/>
      <c r="H58" s="139"/>
      <c r="I58" s="139"/>
      <c r="J58" s="296"/>
    </row>
    <row r="59" spans="1:10" ht="31.5" x14ac:dyDescent="0.25">
      <c r="A59" s="132" t="s">
        <v>174</v>
      </c>
      <c r="B59" s="133">
        <f>SUM(B51:B57)</f>
        <v>0</v>
      </c>
      <c r="C59" s="133">
        <f t="shared" ref="C59:E59" si="6">SUM(C51:C57)</f>
        <v>0</v>
      </c>
      <c r="D59" s="133">
        <f t="shared" si="6"/>
        <v>0</v>
      </c>
      <c r="E59" s="133">
        <f t="shared" si="6"/>
        <v>0</v>
      </c>
      <c r="F59" s="132" t="s">
        <v>175</v>
      </c>
      <c r="G59" s="133">
        <f>SUM(G51:G58)</f>
        <v>75000</v>
      </c>
      <c r="H59" s="133">
        <f t="shared" ref="H59:I59" si="7">SUM(H51:H58)</f>
        <v>75000</v>
      </c>
      <c r="I59" s="133">
        <f t="shared" si="7"/>
        <v>75000</v>
      </c>
      <c r="J59" s="298">
        <f>SUM(J51:J58)</f>
        <v>100</v>
      </c>
    </row>
    <row r="60" spans="1:10" x14ac:dyDescent="0.25">
      <c r="A60" s="140" t="s">
        <v>156</v>
      </c>
      <c r="B60" s="139"/>
      <c r="C60" s="139"/>
      <c r="D60" s="139"/>
      <c r="E60" s="139"/>
      <c r="F60" s="140" t="s">
        <v>157</v>
      </c>
      <c r="G60" s="139"/>
      <c r="H60" s="139"/>
      <c r="I60" s="139"/>
      <c r="J60" s="296"/>
    </row>
    <row r="61" spans="1:10" x14ac:dyDescent="0.25">
      <c r="A61" s="140"/>
      <c r="B61" s="139"/>
      <c r="C61" s="139"/>
      <c r="D61" s="139"/>
      <c r="E61" s="139"/>
      <c r="F61" s="138"/>
      <c r="G61" s="139"/>
      <c r="H61" s="139"/>
      <c r="I61" s="139"/>
      <c r="J61" s="296"/>
    </row>
    <row r="62" spans="1:10" ht="47.25" x14ac:dyDescent="0.25">
      <c r="A62" s="132" t="s">
        <v>176</v>
      </c>
      <c r="B62" s="133">
        <f>B59+B60</f>
        <v>0</v>
      </c>
      <c r="C62" s="133">
        <f t="shared" ref="C62:E62" si="8">C59+C60</f>
        <v>0</v>
      </c>
      <c r="D62" s="133">
        <f t="shared" si="8"/>
        <v>0</v>
      </c>
      <c r="E62" s="133">
        <f t="shared" si="8"/>
        <v>0</v>
      </c>
      <c r="F62" s="132" t="s">
        <v>177</v>
      </c>
      <c r="G62" s="133">
        <f>G59+G60</f>
        <v>75000</v>
      </c>
      <c r="H62" s="133">
        <f t="shared" ref="H62:I62" si="9">H59+H60</f>
        <v>75000</v>
      </c>
      <c r="I62" s="133">
        <f t="shared" si="9"/>
        <v>75000</v>
      </c>
      <c r="J62" s="298">
        <f>J59+J60</f>
        <v>100</v>
      </c>
    </row>
    <row r="63" spans="1:10" x14ac:dyDescent="0.25">
      <c r="A63" s="129"/>
      <c r="B63" s="130">
        <f>B62+B49</f>
        <v>0</v>
      </c>
      <c r="C63" s="130">
        <f t="shared" ref="C63:D63" si="10">C62+C49</f>
        <v>720000</v>
      </c>
      <c r="D63" s="130">
        <f t="shared" si="10"/>
        <v>395874</v>
      </c>
      <c r="E63" s="299">
        <f>E62+E49</f>
        <v>54.982500000000002</v>
      </c>
      <c r="F63" s="122"/>
      <c r="G63" s="128">
        <f>G62+G49</f>
        <v>225000</v>
      </c>
      <c r="H63" s="128">
        <f t="shared" ref="H63:I63" si="11">H62+H49</f>
        <v>225000</v>
      </c>
      <c r="I63" s="128">
        <f t="shared" si="11"/>
        <v>105000</v>
      </c>
      <c r="J63" s="128">
        <f>I62:I63/H63*100</f>
        <v>46.666666666666664</v>
      </c>
    </row>
    <row r="64" spans="1:10" ht="15.75" customHeight="1" x14ac:dyDescent="0.25">
      <c r="A64" s="315" t="s">
        <v>344</v>
      </c>
      <c r="B64" s="315"/>
      <c r="C64" s="315"/>
      <c r="D64" s="315"/>
      <c r="E64" s="315"/>
      <c r="F64" s="315"/>
    </row>
    <row r="66" spans="1:10" s="104" customFormat="1" ht="47.25" x14ac:dyDescent="0.25">
      <c r="A66" s="107" t="s">
        <v>92</v>
      </c>
      <c r="B66" s="4" t="str">
        <f>B6</f>
        <v>2018. évi eredeti előirányzat</v>
      </c>
      <c r="C66" s="4" t="str">
        <f>C6</f>
        <v>I. Módosítás</v>
      </c>
      <c r="D66" s="4" t="str">
        <f>D6</f>
        <v>Teljesítés 2018.06.30.</v>
      </c>
      <c r="E66" s="4" t="str">
        <f>E6</f>
        <v>%</v>
      </c>
      <c r="F66" s="132" t="s">
        <v>93</v>
      </c>
      <c r="G66" s="4" t="str">
        <f>G6</f>
        <v>2018. évi eredeti előirányzat</v>
      </c>
      <c r="H66" s="4" t="str">
        <f t="shared" ref="H66:J66" si="12">H6</f>
        <v>I. Módosítás</v>
      </c>
      <c r="I66" s="4" t="str">
        <f t="shared" si="12"/>
        <v>Teljesítés 2018.06.30.</v>
      </c>
      <c r="J66" s="4" t="str">
        <f t="shared" si="12"/>
        <v>%</v>
      </c>
    </row>
    <row r="67" spans="1:10" x14ac:dyDescent="0.25">
      <c r="A67" s="131" t="s">
        <v>152</v>
      </c>
      <c r="B67" s="145"/>
      <c r="C67" s="146"/>
      <c r="D67" s="146"/>
      <c r="E67" s="146"/>
      <c r="F67" s="149" t="s">
        <v>13</v>
      </c>
      <c r="G67" s="147"/>
      <c r="H67" s="147"/>
      <c r="I67" s="147"/>
      <c r="J67" s="147"/>
    </row>
    <row r="68" spans="1:10" ht="31.5" x14ac:dyDescent="0.25">
      <c r="A68" s="111" t="s">
        <v>153</v>
      </c>
      <c r="B68" s="139"/>
      <c r="C68" s="139"/>
      <c r="D68" s="139"/>
      <c r="E68" s="139"/>
      <c r="F68" s="138" t="s">
        <v>79</v>
      </c>
      <c r="G68" s="139"/>
      <c r="H68" s="139"/>
      <c r="I68" s="139"/>
      <c r="J68" s="139"/>
    </row>
    <row r="69" spans="1:10" x14ac:dyDescent="0.25">
      <c r="A69" s="113" t="s">
        <v>95</v>
      </c>
      <c r="B69" s="139"/>
      <c r="C69" s="139"/>
      <c r="D69" s="139"/>
      <c r="E69" s="139"/>
      <c r="F69" s="138" t="s">
        <v>76</v>
      </c>
      <c r="G69" s="139"/>
      <c r="H69" s="139"/>
      <c r="I69" s="139"/>
      <c r="J69" s="139"/>
    </row>
    <row r="70" spans="1:10" x14ac:dyDescent="0.25">
      <c r="A70" s="115" t="s">
        <v>96</v>
      </c>
      <c r="B70" s="139"/>
      <c r="C70" s="139"/>
      <c r="D70" s="139"/>
      <c r="E70" s="139"/>
      <c r="F70" s="138" t="s">
        <v>97</v>
      </c>
      <c r="G70" s="139"/>
      <c r="H70" s="139"/>
      <c r="I70" s="139"/>
      <c r="J70" s="139"/>
    </row>
    <row r="71" spans="1:10" ht="31.5" x14ac:dyDescent="0.25">
      <c r="A71" s="117" t="s">
        <v>98</v>
      </c>
      <c r="B71" s="139"/>
      <c r="C71" s="139"/>
      <c r="D71" s="139"/>
      <c r="E71" s="139"/>
      <c r="F71" s="138" t="s">
        <v>80</v>
      </c>
      <c r="G71" s="139"/>
      <c r="H71" s="139"/>
      <c r="I71" s="139"/>
      <c r="J71" s="139"/>
    </row>
    <row r="72" spans="1:10" x14ac:dyDescent="0.25">
      <c r="A72" s="113"/>
      <c r="B72" s="139"/>
      <c r="C72" s="139"/>
      <c r="D72" s="139"/>
      <c r="E72" s="139"/>
      <c r="F72" s="138" t="s">
        <v>78</v>
      </c>
      <c r="G72" s="139"/>
      <c r="H72" s="139"/>
      <c r="I72" s="139"/>
      <c r="J72" s="139"/>
    </row>
    <row r="73" spans="1:10" x14ac:dyDescent="0.25">
      <c r="A73" s="115"/>
      <c r="B73" s="139"/>
      <c r="C73" s="139"/>
      <c r="D73" s="139"/>
      <c r="E73" s="139"/>
      <c r="F73" s="90" t="s">
        <v>214</v>
      </c>
      <c r="G73" s="139"/>
      <c r="H73" s="139"/>
      <c r="I73" s="139"/>
      <c r="J73" s="139"/>
    </row>
    <row r="74" spans="1:10" ht="31.5" x14ac:dyDescent="0.25">
      <c r="A74" s="115"/>
      <c r="B74" s="139"/>
      <c r="C74" s="139"/>
      <c r="D74" s="139"/>
      <c r="E74" s="139"/>
      <c r="F74" s="90" t="s">
        <v>215</v>
      </c>
      <c r="G74" s="139"/>
      <c r="H74" s="139"/>
      <c r="I74" s="139"/>
      <c r="J74" s="139"/>
    </row>
    <row r="75" spans="1:10" ht="31.5" x14ac:dyDescent="0.25">
      <c r="A75" s="111"/>
      <c r="B75" s="144"/>
      <c r="C75" s="144"/>
      <c r="D75" s="144"/>
      <c r="E75" s="144"/>
      <c r="F75" s="94" t="s">
        <v>216</v>
      </c>
      <c r="G75" s="139"/>
      <c r="H75" s="139"/>
      <c r="I75" s="139"/>
      <c r="J75" s="139"/>
    </row>
    <row r="76" spans="1:10" ht="31.5" x14ac:dyDescent="0.25">
      <c r="A76" s="117"/>
      <c r="B76" s="139"/>
      <c r="C76" s="139"/>
      <c r="D76" s="139"/>
      <c r="E76" s="139"/>
      <c r="F76" s="90" t="s">
        <v>217</v>
      </c>
      <c r="G76" s="139"/>
      <c r="H76" s="139"/>
      <c r="I76" s="139"/>
      <c r="J76" s="139"/>
    </row>
    <row r="77" spans="1:10" x14ac:dyDescent="0.25">
      <c r="A77" s="134"/>
      <c r="B77" s="139"/>
      <c r="C77" s="139"/>
      <c r="D77" s="139"/>
      <c r="E77" s="139"/>
      <c r="F77" s="90" t="s">
        <v>209</v>
      </c>
      <c r="G77" s="139"/>
      <c r="H77" s="139"/>
      <c r="I77" s="139"/>
      <c r="J77" s="139"/>
    </row>
    <row r="78" spans="1:10" ht="31.5" x14ac:dyDescent="0.25">
      <c r="A78" s="107" t="s">
        <v>178</v>
      </c>
      <c r="B78" s="133">
        <f>SUM(B68:B77)</f>
        <v>0</v>
      </c>
      <c r="C78" s="133">
        <f t="shared" ref="C78:D78" si="13">SUM(C68:C77)</f>
        <v>0</v>
      </c>
      <c r="D78" s="133">
        <f t="shared" si="13"/>
        <v>0</v>
      </c>
      <c r="E78" s="133">
        <f>SUM(E68:E77)</f>
        <v>0</v>
      </c>
      <c r="F78" s="132" t="s">
        <v>179</v>
      </c>
      <c r="G78" s="133">
        <f>SUM(G68:G77)</f>
        <v>0</v>
      </c>
      <c r="H78" s="133">
        <f t="shared" ref="H78:I78" si="14">SUM(H68:H77)</f>
        <v>0</v>
      </c>
      <c r="I78" s="133">
        <f t="shared" si="14"/>
        <v>0</v>
      </c>
      <c r="J78" s="133">
        <f>SUM(J68:J77)</f>
        <v>0</v>
      </c>
    </row>
    <row r="79" spans="1:10" x14ac:dyDescent="0.25">
      <c r="A79" s="109" t="s">
        <v>156</v>
      </c>
      <c r="B79" s="139"/>
      <c r="C79" s="139"/>
      <c r="D79" s="139"/>
      <c r="E79" s="139"/>
      <c r="F79" s="140" t="s">
        <v>157</v>
      </c>
      <c r="G79" s="139"/>
      <c r="H79" s="139"/>
      <c r="I79" s="139"/>
      <c r="J79" s="139"/>
    </row>
    <row r="80" spans="1:10" ht="47.25" x14ac:dyDescent="0.25">
      <c r="A80" s="107" t="s">
        <v>180</v>
      </c>
      <c r="B80" s="133">
        <f>B78+B79</f>
        <v>0</v>
      </c>
      <c r="C80" s="133">
        <f t="shared" ref="C80:D80" si="15">C78+C79</f>
        <v>0</v>
      </c>
      <c r="D80" s="133">
        <f t="shared" si="15"/>
        <v>0</v>
      </c>
      <c r="E80" s="133">
        <f>E78+E79</f>
        <v>0</v>
      </c>
      <c r="F80" s="132" t="s">
        <v>181</v>
      </c>
      <c r="G80" s="133">
        <f>G78+G79</f>
        <v>0</v>
      </c>
      <c r="H80" s="133">
        <f t="shared" ref="H80:I80" si="16">H78+H79</f>
        <v>0</v>
      </c>
      <c r="I80" s="133">
        <f t="shared" si="16"/>
        <v>0</v>
      </c>
      <c r="J80" s="133">
        <f>J78+J79</f>
        <v>0</v>
      </c>
    </row>
    <row r="81" spans="1:11" x14ac:dyDescent="0.25">
      <c r="A81" s="107" t="s">
        <v>160</v>
      </c>
      <c r="B81" s="122"/>
      <c r="C81" s="122"/>
      <c r="D81" s="122"/>
      <c r="E81" s="122"/>
      <c r="F81" s="123" t="s">
        <v>15</v>
      </c>
      <c r="G81" s="124"/>
      <c r="H81" s="124"/>
      <c r="I81" s="124"/>
      <c r="J81" s="124"/>
    </row>
    <row r="82" spans="1:11" ht="31.5" x14ac:dyDescent="0.25">
      <c r="A82" s="117" t="s">
        <v>113</v>
      </c>
      <c r="B82" s="133"/>
      <c r="C82" s="133"/>
      <c r="D82" s="133"/>
      <c r="E82" s="133"/>
      <c r="F82" s="112" t="s">
        <v>114</v>
      </c>
      <c r="G82" s="116"/>
      <c r="H82" s="139"/>
      <c r="I82" s="139"/>
      <c r="J82" s="139"/>
    </row>
    <row r="83" spans="1:11" x14ac:dyDescent="0.25">
      <c r="A83" s="150" t="s">
        <v>161</v>
      </c>
      <c r="B83" s="139"/>
      <c r="C83" s="139"/>
      <c r="D83" s="139"/>
      <c r="E83" s="139"/>
      <c r="F83" s="114" t="s">
        <v>116</v>
      </c>
      <c r="G83" s="116"/>
      <c r="H83" s="139"/>
      <c r="I83" s="139"/>
      <c r="J83" s="139"/>
    </row>
    <row r="84" spans="1:11" ht="31.5" x14ac:dyDescent="0.25">
      <c r="A84" s="150" t="s">
        <v>162</v>
      </c>
      <c r="B84" s="152"/>
      <c r="C84" s="152"/>
      <c r="D84" s="152"/>
      <c r="E84" s="152"/>
      <c r="F84" s="114" t="s">
        <v>118</v>
      </c>
      <c r="G84" s="116"/>
      <c r="H84" s="139"/>
      <c r="I84" s="139"/>
      <c r="J84" s="139"/>
    </row>
    <row r="85" spans="1:11" x14ac:dyDescent="0.25">
      <c r="A85" s="134"/>
      <c r="B85" s="151"/>
      <c r="C85" s="125"/>
      <c r="D85" s="125"/>
      <c r="E85" s="125"/>
      <c r="F85" s="136" t="s">
        <v>163</v>
      </c>
      <c r="G85" s="135"/>
      <c r="H85" s="139"/>
      <c r="I85" s="139"/>
      <c r="J85" s="139"/>
    </row>
    <row r="86" spans="1:11" ht="31.5" x14ac:dyDescent="0.25">
      <c r="A86" s="132" t="s">
        <v>174</v>
      </c>
      <c r="B86" s="133">
        <f>SUM(B82:B84)</f>
        <v>0</v>
      </c>
      <c r="C86" s="133">
        <f t="shared" ref="C86:D86" si="17">SUM(C82:C84)</f>
        <v>0</v>
      </c>
      <c r="D86" s="133">
        <f t="shared" si="17"/>
        <v>0</v>
      </c>
      <c r="E86" s="133">
        <f>SUM(E82:E84)</f>
        <v>0</v>
      </c>
      <c r="F86" s="138" t="s">
        <v>164</v>
      </c>
      <c r="G86" s="301"/>
      <c r="H86" s="139"/>
      <c r="I86" s="139"/>
      <c r="J86" s="139"/>
    </row>
    <row r="87" spans="1:11" ht="31.5" x14ac:dyDescent="0.25">
      <c r="A87" s="140" t="s">
        <v>156</v>
      </c>
      <c r="B87" s="139"/>
      <c r="C87" s="139"/>
      <c r="D87" s="139"/>
      <c r="E87" s="139"/>
      <c r="F87" s="141" t="s">
        <v>165</v>
      </c>
      <c r="G87" s="301"/>
      <c r="H87" s="139"/>
      <c r="I87" s="139"/>
      <c r="J87" s="139"/>
    </row>
    <row r="88" spans="1:11" ht="31.5" x14ac:dyDescent="0.25">
      <c r="A88" s="126"/>
      <c r="B88" s="137"/>
      <c r="C88" s="118"/>
      <c r="D88" s="118"/>
      <c r="E88" s="118"/>
      <c r="F88" s="103" t="s">
        <v>122</v>
      </c>
      <c r="G88" s="137"/>
      <c r="H88" s="139"/>
      <c r="I88" s="139"/>
      <c r="J88" s="139"/>
    </row>
    <row r="89" spans="1:11" ht="47.25" x14ac:dyDescent="0.25">
      <c r="A89" s="121" t="s">
        <v>182</v>
      </c>
      <c r="B89" s="119">
        <f>SUM(B82:B88)</f>
        <v>0</v>
      </c>
      <c r="C89" s="119">
        <f t="shared" ref="C89:D89" si="18">SUM(C82:C88)</f>
        <v>0</v>
      </c>
      <c r="D89" s="119">
        <f t="shared" si="18"/>
        <v>0</v>
      </c>
      <c r="E89" s="119">
        <f>SUM(E82:E88)</f>
        <v>0</v>
      </c>
      <c r="F89" s="127" t="s">
        <v>183</v>
      </c>
      <c r="G89" s="119">
        <f>SUM(G82:G88)</f>
        <v>0</v>
      </c>
      <c r="H89" s="133">
        <f t="shared" ref="H89:I89" si="19">SUM(H82:H88)</f>
        <v>0</v>
      </c>
      <c r="I89" s="133">
        <f t="shared" si="19"/>
        <v>0</v>
      </c>
      <c r="J89" s="133">
        <f>SUM(J82:J88)</f>
        <v>0</v>
      </c>
    </row>
    <row r="90" spans="1:11" x14ac:dyDescent="0.25">
      <c r="B90" s="128">
        <f>B89+B80+B62+B49+B31+B20</f>
        <v>100091327</v>
      </c>
      <c r="C90" s="128">
        <f t="shared" ref="C90" si="20">C89+C80+C62+C49+C31+C20</f>
        <v>106452770</v>
      </c>
      <c r="D90" s="128">
        <f>D89+D80+D62+D49+D31+D20-D47</f>
        <v>85441898</v>
      </c>
      <c r="E90" s="300">
        <f>D90/C90*100</f>
        <v>80.26272871997601</v>
      </c>
      <c r="G90" s="128">
        <f>G89+G80+G62+G49+G31+G20</f>
        <v>100316327</v>
      </c>
      <c r="H90" s="128">
        <f t="shared" ref="H90" si="21">H89+H80+H62+H49+H31+H20</f>
        <v>105957770</v>
      </c>
      <c r="I90" s="128">
        <f>I89+I80+I62+I49+I31+I20-I49-I56</f>
        <v>38114306</v>
      </c>
      <c r="J90" s="300">
        <f>I90/H90*100</f>
        <v>35.971223252433489</v>
      </c>
      <c r="K90" s="128">
        <f>E90-J90</f>
        <v>44.291505467542521</v>
      </c>
    </row>
    <row r="91" spans="1:11" x14ac:dyDescent="0.25">
      <c r="A91" s="104" t="s">
        <v>223</v>
      </c>
      <c r="B91" s="128">
        <f>G90-B90</f>
        <v>225000</v>
      </c>
      <c r="C91" s="128"/>
      <c r="D91" s="128"/>
      <c r="E91" s="128"/>
    </row>
  </sheetData>
  <sheetProtection selectLockedCells="1" selectUnlockedCells="1"/>
  <mergeCells count="3">
    <mergeCell ref="A33:F33"/>
    <mergeCell ref="A64:F64"/>
    <mergeCell ref="A4:J4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9" firstPageNumber="0" orientation="landscape" r:id="rId1"/>
  <headerFooter alignWithMargins="0">
    <oddHeader>&amp;C&amp;"Times New Roman,Normál"&amp;12 7. melléklet
Pécsely Község Önkormányzat 2018. évi gazdálkodásának I. félévi alakulásáról szóló tájékoztatóhoz</oddHeader>
  </headerFooter>
  <rowBreaks count="2" manualBreakCount="2">
    <brk id="32" max="9" man="1"/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O39"/>
  <sheetViews>
    <sheetView view="pageLayout" zoomScaleSheetLayoutView="89" workbookViewId="0">
      <selection activeCell="A3" sqref="A3:N3"/>
    </sheetView>
  </sheetViews>
  <sheetFormatPr defaultColWidth="9.140625" defaultRowHeight="12.75" x14ac:dyDescent="0.2"/>
  <cols>
    <col min="1" max="1" width="51" style="181" customWidth="1"/>
    <col min="2" max="2" width="13.5703125" style="154" bestFit="1" customWidth="1"/>
    <col min="3" max="3" width="12.7109375" style="154" bestFit="1" customWidth="1"/>
    <col min="4" max="5" width="13.28515625" style="154" bestFit="1" customWidth="1"/>
    <col min="6" max="6" width="13.85546875" style="154" customWidth="1"/>
    <col min="7" max="7" width="15.7109375" style="154" customWidth="1"/>
    <col min="8" max="9" width="13.28515625" style="154" bestFit="1" customWidth="1"/>
    <col min="10" max="10" width="16.140625" style="154" bestFit="1" customWidth="1"/>
    <col min="11" max="13" width="13.28515625" style="154" bestFit="1" customWidth="1"/>
    <col min="14" max="14" width="14.140625" style="154" bestFit="1" customWidth="1"/>
    <col min="15" max="15" width="12.7109375" style="154" bestFit="1" customWidth="1"/>
    <col min="16" max="16384" width="9.140625" style="154"/>
  </cols>
  <sheetData>
    <row r="1" spans="1:15" ht="15.75" x14ac:dyDescent="0.25">
      <c r="A1" s="15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.75" x14ac:dyDescent="0.25">
      <c r="A2" s="155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16"/>
      <c r="N2" s="316"/>
    </row>
    <row r="3" spans="1:15" ht="15.75" x14ac:dyDescent="0.25">
      <c r="A3" s="317" t="s">
        <v>341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5" ht="16.5" thickBot="1" x14ac:dyDescent="0.3">
      <c r="A4" s="15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82"/>
    </row>
    <row r="5" spans="1:15" ht="16.5" thickBot="1" x14ac:dyDescent="0.3">
      <c r="A5" s="156" t="s">
        <v>74</v>
      </c>
      <c r="B5" s="157" t="s">
        <v>184</v>
      </c>
      <c r="C5" s="157" t="s">
        <v>185</v>
      </c>
      <c r="D5" s="157" t="s">
        <v>186</v>
      </c>
      <c r="E5" s="157" t="s">
        <v>187</v>
      </c>
      <c r="F5" s="157" t="s">
        <v>188</v>
      </c>
      <c r="G5" s="157" t="s">
        <v>189</v>
      </c>
      <c r="H5" s="157" t="s">
        <v>190</v>
      </c>
      <c r="I5" s="157" t="s">
        <v>191</v>
      </c>
      <c r="J5" s="157" t="s">
        <v>361</v>
      </c>
      <c r="K5" s="157" t="s">
        <v>192</v>
      </c>
      <c r="L5" s="157" t="s">
        <v>193</v>
      </c>
      <c r="M5" s="157" t="s">
        <v>194</v>
      </c>
      <c r="N5" s="158" t="s">
        <v>73</v>
      </c>
    </row>
    <row r="6" spans="1:15" ht="16.5" thickBot="1" x14ac:dyDescent="0.3">
      <c r="A6" s="159" t="s">
        <v>195</v>
      </c>
      <c r="B6" s="160">
        <v>44133173</v>
      </c>
      <c r="C6" s="160">
        <f t="shared" ref="C6:M6" si="0">SUM(B37)</f>
        <v>40801264</v>
      </c>
      <c r="D6" s="160">
        <f t="shared" si="0"/>
        <v>41875090</v>
      </c>
      <c r="E6" s="160">
        <f t="shared" si="0"/>
        <v>50809556</v>
      </c>
      <c r="F6" s="160">
        <f t="shared" si="0"/>
        <v>47728156</v>
      </c>
      <c r="G6" s="160">
        <f t="shared" si="0"/>
        <v>45723916</v>
      </c>
      <c r="H6" s="160">
        <f t="shared" si="0"/>
        <v>48318435</v>
      </c>
      <c r="I6" s="160">
        <f t="shared" si="0"/>
        <v>44889484</v>
      </c>
      <c r="J6" s="160">
        <f t="shared" si="0"/>
        <v>47605493</v>
      </c>
      <c r="K6" s="160">
        <f t="shared" si="0"/>
        <v>46795432</v>
      </c>
      <c r="L6" s="160">
        <f t="shared" si="0"/>
        <v>41363371</v>
      </c>
      <c r="M6" s="160">
        <f t="shared" si="0"/>
        <v>21941343</v>
      </c>
      <c r="N6" s="160">
        <v>44133173</v>
      </c>
      <c r="O6" s="161"/>
    </row>
    <row r="7" spans="1:15" ht="30" customHeight="1" x14ac:dyDescent="0.25">
      <c r="A7" s="162" t="s">
        <v>256</v>
      </c>
      <c r="B7" s="163">
        <f>2270722+426721</f>
        <v>2697443</v>
      </c>
      <c r="C7" s="163">
        <f>2270722+522658</f>
        <v>2793380</v>
      </c>
      <c r="D7" s="163">
        <f>2270722+503892</f>
        <v>2774614</v>
      </c>
      <c r="E7" s="163">
        <f>2270722+428912</f>
        <v>2699634</v>
      </c>
      <c r="F7" s="163">
        <f>2270722+433179</f>
        <v>2703901</v>
      </c>
      <c r="G7" s="163">
        <f>2270722+8188271</f>
        <v>10458993</v>
      </c>
      <c r="H7" s="163">
        <f>2270722+621727</f>
        <v>2892449</v>
      </c>
      <c r="I7" s="163">
        <f>2270722+463279</f>
        <v>2734001</v>
      </c>
      <c r="J7" s="163">
        <f>2270722+450000</f>
        <v>2720722</v>
      </c>
      <c r="K7" s="163">
        <f>2270722+450000</f>
        <v>2720722</v>
      </c>
      <c r="L7" s="163">
        <f>2270722+450000</f>
        <v>2720722</v>
      </c>
      <c r="M7" s="163">
        <f>2270722+1759852</f>
        <v>4030574</v>
      </c>
      <c r="N7" s="164">
        <f>SUM(B7:M7)</f>
        <v>41947155</v>
      </c>
      <c r="O7" s="161">
        <f>'[2]2.sz.tábla'!D5</f>
        <v>41947155</v>
      </c>
    </row>
    <row r="8" spans="1:15" ht="15.75" x14ac:dyDescent="0.25">
      <c r="A8" s="165" t="s">
        <v>152</v>
      </c>
      <c r="B8" s="166">
        <v>435592</v>
      </c>
      <c r="C8" s="166">
        <v>588573</v>
      </c>
      <c r="D8" s="166">
        <v>279162</v>
      </c>
      <c r="E8" s="166">
        <v>278514</v>
      </c>
      <c r="F8" s="166">
        <v>2662835</v>
      </c>
      <c r="G8" s="166">
        <v>829149</v>
      </c>
      <c r="H8" s="166">
        <v>58593</v>
      </c>
      <c r="I8" s="166">
        <v>1005314</v>
      </c>
      <c r="J8" s="166">
        <v>50000</v>
      </c>
      <c r="K8" s="166">
        <v>1400000</v>
      </c>
      <c r="L8" s="166">
        <v>50000</v>
      </c>
      <c r="M8" s="166">
        <v>224788</v>
      </c>
      <c r="N8" s="167">
        <f t="shared" ref="N8:N18" si="1">SUM(B8:M8)</f>
        <v>7862520</v>
      </c>
      <c r="O8" s="161">
        <f>'[2]2.sz.tábla'!D47</f>
        <v>7862520</v>
      </c>
    </row>
    <row r="9" spans="1:15" ht="15.75" x14ac:dyDescent="0.25">
      <c r="A9" s="31" t="s">
        <v>196</v>
      </c>
      <c r="B9" s="30">
        <v>130102</v>
      </c>
      <c r="C9" s="30">
        <v>588573</v>
      </c>
      <c r="D9" s="30">
        <v>7860558</v>
      </c>
      <c r="E9" s="30">
        <v>655653</v>
      </c>
      <c r="F9" s="30">
        <v>976008</v>
      </c>
      <c r="G9" s="30">
        <v>1396624</v>
      </c>
      <c r="H9" s="30">
        <v>251242</v>
      </c>
      <c r="I9" s="30">
        <v>1164936</v>
      </c>
      <c r="J9" s="30">
        <v>5275000</v>
      </c>
      <c r="K9" s="30">
        <v>1000000</v>
      </c>
      <c r="L9" s="30">
        <v>250000</v>
      </c>
      <c r="M9" s="30">
        <v>701304</v>
      </c>
      <c r="N9" s="167">
        <f t="shared" si="1"/>
        <v>20250000</v>
      </c>
      <c r="O9" s="168">
        <f>'[2]2.sz.tábla'!D33</f>
        <v>20250000</v>
      </c>
    </row>
    <row r="10" spans="1:15" ht="15.75" x14ac:dyDescent="0.25">
      <c r="A10" s="31" t="s">
        <v>257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67">
        <f t="shared" si="1"/>
        <v>0</v>
      </c>
    </row>
    <row r="11" spans="1:15" ht="15.75" x14ac:dyDescent="0.25">
      <c r="A11" s="169" t="s">
        <v>197</v>
      </c>
      <c r="B11" s="170">
        <f>SUM(B7:B10)</f>
        <v>3263137</v>
      </c>
      <c r="C11" s="170">
        <f t="shared" ref="C11:M11" si="2">SUM(C7:C10)</f>
        <v>3970526</v>
      </c>
      <c r="D11" s="170">
        <f t="shared" si="2"/>
        <v>10914334</v>
      </c>
      <c r="E11" s="170">
        <f t="shared" si="2"/>
        <v>3633801</v>
      </c>
      <c r="F11" s="170">
        <f t="shared" si="2"/>
        <v>6342744</v>
      </c>
      <c r="G11" s="170">
        <f t="shared" si="2"/>
        <v>12684766</v>
      </c>
      <c r="H11" s="170">
        <f t="shared" si="2"/>
        <v>3202284</v>
      </c>
      <c r="I11" s="170">
        <f t="shared" si="2"/>
        <v>4904251</v>
      </c>
      <c r="J11" s="170">
        <f t="shared" si="2"/>
        <v>8045722</v>
      </c>
      <c r="K11" s="170">
        <f t="shared" si="2"/>
        <v>5120722</v>
      </c>
      <c r="L11" s="170">
        <f t="shared" si="2"/>
        <v>3020722</v>
      </c>
      <c r="M11" s="170">
        <f t="shared" si="2"/>
        <v>4956666</v>
      </c>
      <c r="N11" s="167">
        <f t="shared" si="1"/>
        <v>70059675</v>
      </c>
      <c r="O11" s="161">
        <f>SUM(B11:M11)</f>
        <v>70059675</v>
      </c>
    </row>
    <row r="12" spans="1:15" ht="30.75" customHeight="1" x14ac:dyDescent="0.25">
      <c r="A12" s="31" t="s">
        <v>258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67">
        <f t="shared" si="1"/>
        <v>0</v>
      </c>
      <c r="O12" s="161">
        <f>'[2]2.sz.tábla'!B21</f>
        <v>0</v>
      </c>
    </row>
    <row r="13" spans="1:15" ht="15.75" x14ac:dyDescent="0.25">
      <c r="A13" s="31" t="s">
        <v>259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67">
        <f t="shared" si="1"/>
        <v>0</v>
      </c>
      <c r="O13" s="161">
        <f>'[2]2.sz.tábla'!B60</f>
        <v>0</v>
      </c>
    </row>
    <row r="14" spans="1:15" ht="15.75" x14ac:dyDescent="0.25">
      <c r="A14" s="31" t="s">
        <v>260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67">
        <f t="shared" si="1"/>
        <v>0</v>
      </c>
      <c r="O14" s="161">
        <f>'[2]2.sz.tábla'!E66</f>
        <v>0</v>
      </c>
    </row>
    <row r="15" spans="1:15" ht="15.75" x14ac:dyDescent="0.25">
      <c r="A15" s="169" t="s">
        <v>198</v>
      </c>
      <c r="B15" s="170">
        <f t="shared" ref="B15:M15" si="3">SUM(B12:B14)</f>
        <v>0</v>
      </c>
      <c r="C15" s="170">
        <f t="shared" si="3"/>
        <v>0</v>
      </c>
      <c r="D15" s="170">
        <f t="shared" si="3"/>
        <v>0</v>
      </c>
      <c r="E15" s="170">
        <f t="shared" si="3"/>
        <v>0</v>
      </c>
      <c r="F15" s="170">
        <f t="shared" si="3"/>
        <v>0</v>
      </c>
      <c r="G15" s="170">
        <f t="shared" si="3"/>
        <v>0</v>
      </c>
      <c r="H15" s="170">
        <f t="shared" si="3"/>
        <v>0</v>
      </c>
      <c r="I15" s="170">
        <f t="shared" si="3"/>
        <v>0</v>
      </c>
      <c r="J15" s="170">
        <f t="shared" si="3"/>
        <v>0</v>
      </c>
      <c r="K15" s="170">
        <f t="shared" si="3"/>
        <v>0</v>
      </c>
      <c r="L15" s="170">
        <f t="shared" si="3"/>
        <v>0</v>
      </c>
      <c r="M15" s="170">
        <f t="shared" si="3"/>
        <v>0</v>
      </c>
      <c r="N15" s="167">
        <f t="shared" si="1"/>
        <v>0</v>
      </c>
      <c r="O15" s="161">
        <f>'[2]2.sz.tábla'!E60+'[2]2.sz.tábla'!E21</f>
        <v>0</v>
      </c>
    </row>
    <row r="16" spans="1:15" ht="15.75" x14ac:dyDescent="0.25">
      <c r="A16" s="51" t="s">
        <v>8</v>
      </c>
      <c r="B16" s="30">
        <f>SUM(B11,B15)</f>
        <v>3263137</v>
      </c>
      <c r="C16" s="30">
        <f t="shared" ref="C16:M16" si="4">SUM(C11,C15)</f>
        <v>3970526</v>
      </c>
      <c r="D16" s="30">
        <f>SUM(D11,D15)</f>
        <v>10914334</v>
      </c>
      <c r="E16" s="30">
        <f t="shared" si="4"/>
        <v>3633801</v>
      </c>
      <c r="F16" s="30">
        <f t="shared" si="4"/>
        <v>6342744</v>
      </c>
      <c r="G16" s="30">
        <f t="shared" si="4"/>
        <v>12684766</v>
      </c>
      <c r="H16" s="30">
        <f t="shared" si="4"/>
        <v>3202284</v>
      </c>
      <c r="I16" s="30">
        <f t="shared" si="4"/>
        <v>4904251</v>
      </c>
      <c r="J16" s="30">
        <f t="shared" si="4"/>
        <v>8045722</v>
      </c>
      <c r="K16" s="30">
        <f t="shared" si="4"/>
        <v>5120722</v>
      </c>
      <c r="L16" s="30">
        <f t="shared" si="4"/>
        <v>3020722</v>
      </c>
      <c r="M16" s="30">
        <f t="shared" si="4"/>
        <v>4956666</v>
      </c>
      <c r="N16" s="167">
        <f t="shared" si="1"/>
        <v>70059675</v>
      </c>
      <c r="O16" s="161">
        <f>'[2]1.sz.tábla'!E14</f>
        <v>7943240</v>
      </c>
    </row>
    <row r="17" spans="1:15" ht="31.5" x14ac:dyDescent="0.25">
      <c r="A17" s="31" t="s">
        <v>261</v>
      </c>
      <c r="B17" s="166"/>
      <c r="C17" s="166"/>
      <c r="D17" s="166">
        <v>199402</v>
      </c>
      <c r="E17" s="166">
        <v>33659</v>
      </c>
      <c r="F17" s="166">
        <v>35262</v>
      </c>
      <c r="G17" s="166">
        <v>35262</v>
      </c>
      <c r="H17" s="166">
        <v>35262</v>
      </c>
      <c r="I17" s="166">
        <v>35262</v>
      </c>
      <c r="J17" s="166">
        <v>35262</v>
      </c>
      <c r="K17" s="166">
        <v>44953</v>
      </c>
      <c r="L17" s="166">
        <v>44953</v>
      </c>
      <c r="M17" s="166">
        <v>44953</v>
      </c>
      <c r="N17" s="167">
        <f>SUM(B17:M17)</f>
        <v>544230</v>
      </c>
      <c r="O17" s="172">
        <f>'[2]2.sz.tábla'!D82</f>
        <v>544230</v>
      </c>
    </row>
    <row r="18" spans="1:15" ht="15.75" x14ac:dyDescent="0.25">
      <c r="A18" s="31" t="s">
        <v>262</v>
      </c>
      <c r="B18" s="30">
        <v>38541663</v>
      </c>
      <c r="C18" s="30"/>
      <c r="D18" s="30"/>
      <c r="E18" s="30"/>
      <c r="F18" s="30"/>
      <c r="G18" s="30">
        <v>4352962</v>
      </c>
      <c r="H18" s="30"/>
      <c r="I18" s="30"/>
      <c r="J18" s="30"/>
      <c r="K18" s="30"/>
      <c r="L18" s="30"/>
      <c r="M18" s="30"/>
      <c r="N18" s="173">
        <f t="shared" si="1"/>
        <v>42894625</v>
      </c>
      <c r="O18" s="161">
        <f>'[2]2.sz.tábla'!E79</f>
        <v>0</v>
      </c>
    </row>
    <row r="19" spans="1:15" ht="15.75" x14ac:dyDescent="0.25">
      <c r="A19" s="51" t="s">
        <v>12</v>
      </c>
      <c r="B19" s="48">
        <f>SUM(B16:B18)</f>
        <v>41804800</v>
      </c>
      <c r="C19" s="48">
        <f>SUM(C16:C18)</f>
        <v>3970526</v>
      </c>
      <c r="D19" s="48">
        <f>SUM(D16:D18)</f>
        <v>11113736</v>
      </c>
      <c r="E19" s="48">
        <f t="shared" ref="E19:N19" si="5">SUM(E16:E18)</f>
        <v>3667460</v>
      </c>
      <c r="F19" s="48">
        <f t="shared" si="5"/>
        <v>6378006</v>
      </c>
      <c r="G19" s="48">
        <f t="shared" si="5"/>
        <v>17072990</v>
      </c>
      <c r="H19" s="48">
        <f t="shared" si="5"/>
        <v>3237546</v>
      </c>
      <c r="I19" s="48">
        <f t="shared" si="5"/>
        <v>4939513</v>
      </c>
      <c r="J19" s="48">
        <f t="shared" si="5"/>
        <v>8080984</v>
      </c>
      <c r="K19" s="48">
        <f t="shared" si="5"/>
        <v>5165675</v>
      </c>
      <c r="L19" s="48">
        <f t="shared" si="5"/>
        <v>3065675</v>
      </c>
      <c r="M19" s="48">
        <f t="shared" si="5"/>
        <v>5001619</v>
      </c>
      <c r="N19" s="174">
        <f t="shared" si="5"/>
        <v>113498530</v>
      </c>
      <c r="O19" s="161">
        <f>'[2]1.sz.tábla'!E19</f>
        <v>7943240</v>
      </c>
    </row>
    <row r="20" spans="1:15" ht="15.75" x14ac:dyDescent="0.25">
      <c r="A20" s="31" t="s">
        <v>263</v>
      </c>
      <c r="B20" s="30">
        <v>1394112</v>
      </c>
      <c r="C20" s="30">
        <v>1378616</v>
      </c>
      <c r="D20" s="30">
        <v>1356216</v>
      </c>
      <c r="E20" s="30">
        <v>1494465</v>
      </c>
      <c r="F20" s="30">
        <v>1417669</v>
      </c>
      <c r="G20" s="30">
        <v>1351689</v>
      </c>
      <c r="H20" s="30">
        <v>1397643</v>
      </c>
      <c r="I20" s="30">
        <v>1347232</v>
      </c>
      <c r="J20" s="30">
        <v>1497571</v>
      </c>
      <c r="K20" s="30">
        <v>1497571</v>
      </c>
      <c r="L20" s="30">
        <v>1497571</v>
      </c>
      <c r="M20" s="30">
        <v>3787734</v>
      </c>
      <c r="N20" s="83">
        <f t="shared" ref="N20:N36" si="6">SUM(B20:M20)</f>
        <v>19418089</v>
      </c>
      <c r="O20" s="161">
        <f>'[2]3.tábla'!D7</f>
        <v>19418089</v>
      </c>
    </row>
    <row r="21" spans="1:15" ht="15.75" x14ac:dyDescent="0.25">
      <c r="A21" s="31" t="s">
        <v>264</v>
      </c>
      <c r="B21" s="30">
        <v>285000</v>
      </c>
      <c r="C21" s="30">
        <v>243000</v>
      </c>
      <c r="D21" s="30">
        <v>245000</v>
      </c>
      <c r="E21" s="30">
        <v>247000</v>
      </c>
      <c r="F21" s="30">
        <v>321000</v>
      </c>
      <c r="G21" s="30">
        <v>243000</v>
      </c>
      <c r="H21" s="30">
        <v>280000</v>
      </c>
      <c r="I21" s="30">
        <v>249000</v>
      </c>
      <c r="J21" s="30">
        <v>350000</v>
      </c>
      <c r="K21" s="30">
        <v>350000</v>
      </c>
      <c r="L21" s="30">
        <v>350000</v>
      </c>
      <c r="M21" s="30">
        <v>609052</v>
      </c>
      <c r="N21" s="83">
        <f t="shared" si="6"/>
        <v>3772052</v>
      </c>
      <c r="O21" s="161">
        <f>'[2]3.tábla'!D8</f>
        <v>3772052</v>
      </c>
    </row>
    <row r="22" spans="1:15" ht="15" customHeight="1" x14ac:dyDescent="0.25">
      <c r="A22" s="31" t="s">
        <v>265</v>
      </c>
      <c r="B22" s="30">
        <f>2246949+41254</f>
        <v>2288203</v>
      </c>
      <c r="C22" s="30">
        <v>972102</v>
      </c>
      <c r="D22" s="30">
        <v>799152</v>
      </c>
      <c r="E22" s="30">
        <v>288851</v>
      </c>
      <c r="F22" s="30">
        <v>5131013</v>
      </c>
      <c r="G22" s="30">
        <v>3259411</v>
      </c>
      <c r="H22" s="30">
        <v>2722445</v>
      </c>
      <c r="I22" s="30">
        <v>128995</v>
      </c>
      <c r="J22" s="30">
        <v>4685707</v>
      </c>
      <c r="K22" s="30">
        <v>4685707</v>
      </c>
      <c r="L22" s="30">
        <v>4685707</v>
      </c>
      <c r="M22" s="30">
        <v>4685707</v>
      </c>
      <c r="N22" s="83">
        <f t="shared" si="6"/>
        <v>34333000</v>
      </c>
      <c r="O22" s="161">
        <f>'[2]3.tábla'!D9</f>
        <v>34333000</v>
      </c>
    </row>
    <row r="23" spans="1:15" ht="15.75" x14ac:dyDescent="0.25">
      <c r="A23" s="31" t="s">
        <v>199</v>
      </c>
      <c r="B23" s="30">
        <v>78500</v>
      </c>
      <c r="C23" s="30">
        <v>100000</v>
      </c>
      <c r="D23" s="30">
        <v>140245</v>
      </c>
      <c r="E23" s="30">
        <v>48500</v>
      </c>
      <c r="F23" s="30">
        <v>48500</v>
      </c>
      <c r="G23" s="30">
        <v>68500</v>
      </c>
      <c r="H23" s="30">
        <v>114500</v>
      </c>
      <c r="I23" s="30">
        <v>28500</v>
      </c>
      <c r="J23" s="30">
        <v>100000</v>
      </c>
      <c r="K23" s="30">
        <v>100000</v>
      </c>
      <c r="L23" s="30">
        <v>100000</v>
      </c>
      <c r="M23" s="30">
        <v>2776755</v>
      </c>
      <c r="N23" s="83">
        <f t="shared" si="6"/>
        <v>3704000</v>
      </c>
      <c r="O23" s="161">
        <f>'[2]3.tábla'!D48</f>
        <v>3704000</v>
      </c>
    </row>
    <row r="24" spans="1:15" ht="29.25" customHeight="1" x14ac:dyDescent="0.25">
      <c r="A24" s="31" t="s">
        <v>266</v>
      </c>
      <c r="B24" s="30"/>
      <c r="C24" s="30"/>
      <c r="D24" s="30"/>
      <c r="E24" s="30"/>
      <c r="F24" s="30"/>
      <c r="G24" s="30">
        <v>30000</v>
      </c>
      <c r="H24" s="30">
        <v>50000</v>
      </c>
      <c r="I24" s="30"/>
      <c r="J24" s="30"/>
      <c r="K24" s="30"/>
      <c r="L24" s="30">
        <v>70000</v>
      </c>
      <c r="M24" s="30"/>
      <c r="N24" s="83">
        <f t="shared" si="6"/>
        <v>150000</v>
      </c>
      <c r="O24" s="161">
        <f>'[2]4. sz. tábla'!E14</f>
        <v>0</v>
      </c>
    </row>
    <row r="25" spans="1:15" ht="34.5" customHeight="1" x14ac:dyDescent="0.25">
      <c r="A25" s="31" t="s">
        <v>267</v>
      </c>
      <c r="B25" s="30">
        <v>150000</v>
      </c>
      <c r="C25" s="30">
        <v>0</v>
      </c>
      <c r="D25" s="30">
        <v>0</v>
      </c>
      <c r="E25" s="30">
        <f>2053925+2486668</f>
        <v>4540593</v>
      </c>
      <c r="F25" s="30">
        <f>513480+621667</f>
        <v>1135147</v>
      </c>
      <c r="G25" s="30">
        <f>513480+621667</f>
        <v>1135147</v>
      </c>
      <c r="H25" s="30">
        <f>513480+621667+871510</f>
        <v>2006657</v>
      </c>
      <c r="I25" s="30">
        <f>513480+149025</f>
        <v>662505</v>
      </c>
      <c r="J25" s="30">
        <f>513480+149025</f>
        <v>662505</v>
      </c>
      <c r="K25" s="30">
        <f>513480+149025+90000</f>
        <v>752505</v>
      </c>
      <c r="L25" s="30">
        <f>513480+149025</f>
        <v>662505</v>
      </c>
      <c r="M25" s="30">
        <f>513480+149027</f>
        <v>662507</v>
      </c>
      <c r="N25" s="83">
        <f t="shared" si="6"/>
        <v>12370071</v>
      </c>
      <c r="O25" s="175">
        <f>'[2]4. sz. tábla'!D5</f>
        <v>12370071</v>
      </c>
    </row>
    <row r="26" spans="1:15" ht="34.5" customHeight="1" x14ac:dyDescent="0.25">
      <c r="A26" s="31" t="s">
        <v>268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83">
        <f t="shared" si="6"/>
        <v>0</v>
      </c>
      <c r="O26" s="161">
        <f>'[2]3.tábla'!E34</f>
        <v>0</v>
      </c>
    </row>
    <row r="27" spans="1:15" ht="15.75" x14ac:dyDescent="0.25">
      <c r="A27" s="31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7134044</v>
      </c>
      <c r="N27" s="83">
        <f t="shared" si="6"/>
        <v>7134044</v>
      </c>
      <c r="O27" s="161">
        <f>'[2]1.sz.tábla'!E31</f>
        <v>2526269</v>
      </c>
    </row>
    <row r="28" spans="1:15" ht="15.75" x14ac:dyDescent="0.25">
      <c r="A28" s="169" t="s">
        <v>200</v>
      </c>
      <c r="B28" s="170">
        <f>SUM(B20:B27)</f>
        <v>4195815</v>
      </c>
      <c r="C28" s="170">
        <f>SUM(C20:C27)</f>
        <v>2693718</v>
      </c>
      <c r="D28" s="170">
        <f>SUM(D20:D27)</f>
        <v>2540613</v>
      </c>
      <c r="E28" s="170">
        <f>SUM(E20:E27)</f>
        <v>6619409</v>
      </c>
      <c r="F28" s="170">
        <f t="shared" ref="F28:M28" si="7">SUM(F20:F27)</f>
        <v>8053329</v>
      </c>
      <c r="G28" s="170">
        <f t="shared" si="7"/>
        <v>6087747</v>
      </c>
      <c r="H28" s="170">
        <f t="shared" si="7"/>
        <v>6571245</v>
      </c>
      <c r="I28" s="170">
        <f t="shared" si="7"/>
        <v>2416232</v>
      </c>
      <c r="J28" s="170">
        <f t="shared" si="7"/>
        <v>7295783</v>
      </c>
      <c r="K28" s="170">
        <f t="shared" si="7"/>
        <v>7385783</v>
      </c>
      <c r="L28" s="170">
        <f t="shared" si="7"/>
        <v>7365783</v>
      </c>
      <c r="M28" s="170">
        <f t="shared" si="7"/>
        <v>19655799</v>
      </c>
      <c r="N28" s="83">
        <f t="shared" si="6"/>
        <v>80881256</v>
      </c>
      <c r="O28" s="161">
        <f>SUM(O20:O27)</f>
        <v>76123481</v>
      </c>
    </row>
    <row r="29" spans="1:15" ht="15.75" x14ac:dyDescent="0.25">
      <c r="A29" s="31" t="s">
        <v>201</v>
      </c>
      <c r="B29" s="30">
        <v>32940</v>
      </c>
      <c r="C29" s="30"/>
      <c r="D29" s="30"/>
      <c r="E29" s="30">
        <v>65792</v>
      </c>
      <c r="F29" s="30">
        <v>53455</v>
      </c>
      <c r="G29" s="30">
        <v>8990</v>
      </c>
      <c r="H29" s="30">
        <v>29990</v>
      </c>
      <c r="I29" s="30"/>
      <c r="J29" s="30">
        <v>1500000</v>
      </c>
      <c r="K29" s="30">
        <v>2667000</v>
      </c>
      <c r="L29" s="30">
        <v>30000</v>
      </c>
      <c r="M29" s="30">
        <v>1378833</v>
      </c>
      <c r="N29" s="83">
        <f t="shared" si="6"/>
        <v>5767000</v>
      </c>
      <c r="O29" s="175">
        <f>'[2]1.sz.tábla'!D27</f>
        <v>5767000</v>
      </c>
    </row>
    <row r="30" spans="1:15" ht="15.75" x14ac:dyDescent="0.25">
      <c r="A30" s="31" t="s">
        <v>202</v>
      </c>
      <c r="B30" s="30">
        <v>2399231</v>
      </c>
      <c r="C30" s="30">
        <v>60000</v>
      </c>
      <c r="D30" s="30">
        <v>48900</v>
      </c>
      <c r="E30" s="30">
        <v>30000</v>
      </c>
      <c r="F30" s="30">
        <v>165200</v>
      </c>
      <c r="G30" s="30">
        <v>3993510</v>
      </c>
      <c r="H30" s="30">
        <v>30000</v>
      </c>
      <c r="I30" s="30">
        <v>30000</v>
      </c>
      <c r="J30" s="30">
        <v>60000</v>
      </c>
      <c r="K30" s="30">
        <v>500000</v>
      </c>
      <c r="L30" s="30">
        <f>12738922+2248045+60000</f>
        <v>15046967</v>
      </c>
      <c r="M30" s="30">
        <v>2870000</v>
      </c>
      <c r="N30" s="83">
        <f>SUM(B30:M30)</f>
        <v>25233808</v>
      </c>
      <c r="O30" s="161">
        <f>'[2]1.sz.tábla'!D28</f>
        <v>25233808</v>
      </c>
    </row>
    <row r="31" spans="1:15" ht="15.75" x14ac:dyDescent="0.25">
      <c r="A31" s="31" t="s">
        <v>269</v>
      </c>
      <c r="B31" s="30"/>
      <c r="C31" s="30"/>
      <c r="D31" s="30"/>
      <c r="E31" s="30"/>
      <c r="F31" s="30">
        <v>75000</v>
      </c>
      <c r="G31" s="30"/>
      <c r="H31" s="30"/>
      <c r="I31" s="30"/>
      <c r="J31" s="30"/>
      <c r="K31" s="30"/>
      <c r="L31" s="30"/>
      <c r="M31" s="30"/>
      <c r="N31" s="83">
        <f t="shared" si="6"/>
        <v>75000</v>
      </c>
    </row>
    <row r="32" spans="1:15" ht="15.75" x14ac:dyDescent="0.25">
      <c r="A32" s="169" t="s">
        <v>203</v>
      </c>
      <c r="B32" s="170">
        <f>SUM(B30:B31)</f>
        <v>2399231</v>
      </c>
      <c r="C32" s="170">
        <f>SUM(C29:C31)</f>
        <v>60000</v>
      </c>
      <c r="D32" s="170">
        <f t="shared" ref="D32:M32" si="8">SUM(D29:D31)</f>
        <v>48900</v>
      </c>
      <c r="E32" s="170">
        <f t="shared" si="8"/>
        <v>95792</v>
      </c>
      <c r="F32" s="170">
        <f t="shared" si="8"/>
        <v>293655</v>
      </c>
      <c r="G32" s="170">
        <f t="shared" si="8"/>
        <v>4002500</v>
      </c>
      <c r="H32" s="170">
        <f t="shared" si="8"/>
        <v>59990</v>
      </c>
      <c r="I32" s="170">
        <f t="shared" si="8"/>
        <v>30000</v>
      </c>
      <c r="J32" s="170">
        <f t="shared" si="8"/>
        <v>1560000</v>
      </c>
      <c r="K32" s="170">
        <f t="shared" si="8"/>
        <v>3167000</v>
      </c>
      <c r="L32" s="170">
        <f t="shared" si="8"/>
        <v>15076967</v>
      </c>
      <c r="M32" s="170">
        <f t="shared" si="8"/>
        <v>4248833</v>
      </c>
      <c r="N32" s="83">
        <f t="shared" si="6"/>
        <v>31042868</v>
      </c>
      <c r="O32" s="161">
        <f>'[2]1.sz.tábla'!E25</f>
        <v>3400000</v>
      </c>
    </row>
    <row r="33" spans="1:15" ht="15.75" x14ac:dyDescent="0.25">
      <c r="A33" s="51" t="s">
        <v>21</v>
      </c>
      <c r="B33" s="171">
        <f>SUM(B32,B28)</f>
        <v>6595046</v>
      </c>
      <c r="C33" s="171">
        <f>SUM(C32,C28)</f>
        <v>2753718</v>
      </c>
      <c r="D33" s="171">
        <f>SUM(D32,D28)</f>
        <v>2589513</v>
      </c>
      <c r="E33" s="171">
        <f>SUM(E32,E28)</f>
        <v>6715201</v>
      </c>
      <c r="F33" s="171">
        <f t="shared" ref="F33:M33" si="9">SUM(F32,F28)</f>
        <v>8346984</v>
      </c>
      <c r="G33" s="171">
        <f t="shared" si="9"/>
        <v>10090247</v>
      </c>
      <c r="H33" s="171">
        <f t="shared" si="9"/>
        <v>6631235</v>
      </c>
      <c r="I33" s="171">
        <f t="shared" si="9"/>
        <v>2446232</v>
      </c>
      <c r="J33" s="171">
        <f t="shared" si="9"/>
        <v>8855783</v>
      </c>
      <c r="K33" s="171">
        <f t="shared" si="9"/>
        <v>10552783</v>
      </c>
      <c r="L33" s="171">
        <f t="shared" si="9"/>
        <v>22442750</v>
      </c>
      <c r="M33" s="171">
        <f t="shared" si="9"/>
        <v>23904632</v>
      </c>
      <c r="N33" s="203">
        <f t="shared" si="6"/>
        <v>111924124</v>
      </c>
      <c r="O33" s="161">
        <f>'[2]1.sz.tábla'!D34</f>
        <v>111984369</v>
      </c>
    </row>
    <row r="34" spans="1:15" ht="47.25" x14ac:dyDescent="0.25">
      <c r="A34" s="51" t="s">
        <v>270</v>
      </c>
      <c r="B34" s="171"/>
      <c r="C34" s="171">
        <v>142982</v>
      </c>
      <c r="D34" s="171">
        <f>1131641+56420</f>
        <v>1188061</v>
      </c>
      <c r="E34" s="171">
        <v>33659</v>
      </c>
      <c r="F34" s="171">
        <v>35262</v>
      </c>
      <c r="G34" s="171">
        <v>35262</v>
      </c>
      <c r="H34" s="171">
        <v>35262</v>
      </c>
      <c r="I34" s="171">
        <v>35262</v>
      </c>
      <c r="J34" s="171">
        <v>35262</v>
      </c>
      <c r="K34" s="171">
        <v>44953</v>
      </c>
      <c r="L34" s="171">
        <v>44953</v>
      </c>
      <c r="M34" s="171">
        <v>60723</v>
      </c>
      <c r="N34" s="83">
        <f t="shared" si="6"/>
        <v>1691641</v>
      </c>
      <c r="O34" s="161">
        <v>1691641</v>
      </c>
    </row>
    <row r="35" spans="1:15" ht="15.75" x14ac:dyDescent="0.25">
      <c r="A35" s="50" t="s">
        <v>24</v>
      </c>
      <c r="B35" s="176">
        <f>SUM(B33:B34)</f>
        <v>6595046</v>
      </c>
      <c r="C35" s="176">
        <f t="shared" ref="C35:M35" si="10">SUM(C33:C34)</f>
        <v>2896700</v>
      </c>
      <c r="D35" s="176">
        <f>SUM(D33:D34)-D22*2</f>
        <v>2179270</v>
      </c>
      <c r="E35" s="176">
        <f t="shared" si="10"/>
        <v>6748860</v>
      </c>
      <c r="F35" s="176">
        <f t="shared" si="10"/>
        <v>8382246</v>
      </c>
      <c r="G35" s="176">
        <f t="shared" si="10"/>
        <v>10125509</v>
      </c>
      <c r="H35" s="176">
        <f t="shared" si="10"/>
        <v>6666497</v>
      </c>
      <c r="I35" s="176">
        <f>SUM(I33:I34)-I22*2</f>
        <v>2223504</v>
      </c>
      <c r="J35" s="176">
        <f t="shared" si="10"/>
        <v>8891045</v>
      </c>
      <c r="K35" s="176">
        <f t="shared" si="10"/>
        <v>10597736</v>
      </c>
      <c r="L35" s="176">
        <f t="shared" si="10"/>
        <v>22487703</v>
      </c>
      <c r="M35" s="176">
        <f t="shared" si="10"/>
        <v>23965355</v>
      </c>
      <c r="N35" s="203">
        <f t="shared" si="6"/>
        <v>111759471</v>
      </c>
      <c r="O35" s="161">
        <f>'[2]1.sz.tábla'!E38</f>
        <v>7943240</v>
      </c>
    </row>
    <row r="36" spans="1:15" ht="16.5" thickBot="1" x14ac:dyDescent="0.3">
      <c r="A36" s="177" t="s">
        <v>271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83">
        <f t="shared" si="6"/>
        <v>0</v>
      </c>
    </row>
    <row r="37" spans="1:15" ht="16.5" thickBot="1" x14ac:dyDescent="0.3">
      <c r="A37" s="179" t="s">
        <v>204</v>
      </c>
      <c r="B37" s="180">
        <f>B6+B16+B17-B35-B36</f>
        <v>40801264</v>
      </c>
      <c r="C37" s="180">
        <f t="shared" ref="C37:N37" si="11">C6+C16+C17-C35-C36</f>
        <v>41875090</v>
      </c>
      <c r="D37" s="180">
        <f t="shared" si="11"/>
        <v>50809556</v>
      </c>
      <c r="E37" s="180">
        <f t="shared" si="11"/>
        <v>47728156</v>
      </c>
      <c r="F37" s="180">
        <f t="shared" si="11"/>
        <v>45723916</v>
      </c>
      <c r="G37" s="180">
        <f t="shared" si="11"/>
        <v>48318435</v>
      </c>
      <c r="H37" s="180">
        <f t="shared" si="11"/>
        <v>44889484</v>
      </c>
      <c r="I37" s="180">
        <f t="shared" si="11"/>
        <v>47605493</v>
      </c>
      <c r="J37" s="180">
        <f t="shared" si="11"/>
        <v>46795432</v>
      </c>
      <c r="K37" s="180">
        <f t="shared" si="11"/>
        <v>41363371</v>
      </c>
      <c r="L37" s="180">
        <f t="shared" si="11"/>
        <v>21941343</v>
      </c>
      <c r="M37" s="180">
        <f t="shared" si="11"/>
        <v>2977607</v>
      </c>
      <c r="N37" s="180">
        <f t="shared" si="11"/>
        <v>2977607</v>
      </c>
      <c r="O37" s="161"/>
    </row>
    <row r="39" spans="1:15" x14ac:dyDescent="0.2">
      <c r="N39" s="161">
        <f>SUM(N20)</f>
        <v>19418089</v>
      </c>
    </row>
  </sheetData>
  <sheetProtection selectLockedCells="1" selectUnlockedCells="1"/>
  <mergeCells count="2">
    <mergeCell ref="M2:N2"/>
    <mergeCell ref="A3:N3"/>
  </mergeCells>
  <phoneticPr fontId="19" type="noConversion"/>
  <pageMargins left="0" right="0" top="0.74803149606299213" bottom="0.74803149606299213" header="0.31496062992125984" footer="0.31496062992125984"/>
  <pageSetup paperSize="9" scale="60" firstPageNumber="0" orientation="landscape" r:id="rId1"/>
  <headerFooter alignWithMargins="0">
    <oddHeader>&amp;C&amp;"Times New Roman,Normál"&amp;12 8. melléklet
Pécsely Község Önkormányzat 2018. évi gazdálkodásának I. félévi alakulásáról szóló tájékoztatóhoz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1.sz.tábla</vt:lpstr>
      <vt:lpstr>2.sz.tábla</vt:lpstr>
      <vt:lpstr>3.tábla</vt:lpstr>
      <vt:lpstr>4. sz. tábla</vt:lpstr>
      <vt:lpstr>5.sz.tábla </vt:lpstr>
      <vt:lpstr>6. sz. tábla </vt:lpstr>
      <vt:lpstr>7. sz. tábla</vt:lpstr>
      <vt:lpstr>8. sz. tábla </vt:lpstr>
      <vt:lpstr>'1.sz.tábla'!Nyomtatási_terület</vt:lpstr>
      <vt:lpstr>'2.sz.tábla'!Nyomtatási_terület</vt:lpstr>
      <vt:lpstr>'3.tábla'!Nyomtatási_terület</vt:lpstr>
      <vt:lpstr>'4. sz. tábla'!Nyomtatási_terület</vt:lpstr>
      <vt:lpstr>'5.sz.tábla '!Nyomtatási_terület</vt:lpstr>
      <vt:lpstr>'6. sz. tábla '!Nyomtatási_terület</vt:lpstr>
      <vt:lpstr>'7. sz. tábla'!Nyomtatási_terület</vt:lpstr>
      <vt:lpstr>'8. sz. tábla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Hossó Erika</cp:lastModifiedBy>
  <cp:lastPrinted>2018-09-21T10:51:54Z</cp:lastPrinted>
  <dcterms:created xsi:type="dcterms:W3CDTF">2014-05-27T12:51:39Z</dcterms:created>
  <dcterms:modified xsi:type="dcterms:W3CDTF">2018-09-21T11:02:28Z</dcterms:modified>
</cp:coreProperties>
</file>